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75" windowWidth="20955" windowHeight="9975" activeTab="1"/>
  </bookViews>
  <sheets>
    <sheet name="Resources" sheetId="1" r:id="rId1"/>
    <sheet name="Open Spaces" sheetId="2" r:id="rId2"/>
    <sheet name="Totals" sheetId="3" r:id="rId3"/>
  </sheets>
  <definedNames/>
  <calcPr calcId="152511"/>
</workbook>
</file>

<file path=xl/sharedStrings.xml><?xml version="1.0" encoding="utf-8"?>
<sst xmlns="http://schemas.openxmlformats.org/spreadsheetml/2006/main" count="400" uniqueCount="274">
  <si>
    <t>Heading</t>
  </si>
  <si>
    <t>Interest  - Bonus Saver</t>
  </si>
  <si>
    <t>Dividends</t>
  </si>
  <si>
    <t>Donations</t>
  </si>
  <si>
    <t>Civic Evening</t>
  </si>
  <si>
    <t>Christmas Lights</t>
  </si>
  <si>
    <t>Miscellaneous</t>
  </si>
  <si>
    <t>VAT Repayments</t>
  </si>
  <si>
    <t>Total</t>
  </si>
  <si>
    <t>Grants</t>
  </si>
  <si>
    <t>Employees</t>
  </si>
  <si>
    <t>Training</t>
  </si>
  <si>
    <t>Health &amp; Safety</t>
  </si>
  <si>
    <t>Insurance</t>
  </si>
  <si>
    <t>Services/Rents</t>
  </si>
  <si>
    <t>Purchases (Sundries)</t>
  </si>
  <si>
    <t>Website</t>
  </si>
  <si>
    <t>Bank Charges</t>
  </si>
  <si>
    <t>Maintenance</t>
  </si>
  <si>
    <t>Supplies</t>
  </si>
  <si>
    <t>Audit Fees</t>
  </si>
  <si>
    <t>Election Expenses</t>
  </si>
  <si>
    <t>Members</t>
  </si>
  <si>
    <t>Advertising</t>
  </si>
  <si>
    <t>Rents</t>
  </si>
  <si>
    <t>Claims</t>
  </si>
  <si>
    <t>Vehicle Insurance</t>
  </si>
  <si>
    <t>Play Equipment Inspection</t>
  </si>
  <si>
    <t>Fuel</t>
  </si>
  <si>
    <t>Purchases</t>
  </si>
  <si>
    <t>Toilets</t>
  </si>
  <si>
    <t>Cemetery Income</t>
  </si>
  <si>
    <t>Burial Fees</t>
  </si>
  <si>
    <t>Lodge Rents</t>
  </si>
  <si>
    <t>Cemetery Expenditure</t>
  </si>
  <si>
    <t>Cemetery Maintenance</t>
  </si>
  <si>
    <t>Cemetery Lodge</t>
  </si>
  <si>
    <t>Market House Expenditure</t>
  </si>
  <si>
    <t>General Maintenance</t>
  </si>
  <si>
    <t>ISI</t>
  </si>
  <si>
    <t>Comments</t>
  </si>
  <si>
    <t>Interest - Bus Res</t>
  </si>
  <si>
    <t>Head-ing No</t>
  </si>
  <si>
    <t>Community Engagement</t>
  </si>
  <si>
    <t>Skatepark</t>
  </si>
  <si>
    <t>OPEN SPACES EXPENDITURE</t>
  </si>
  <si>
    <t>OPEN SPACES INCOME</t>
  </si>
  <si>
    <t>Office Furniture</t>
  </si>
  <si>
    <t>Projects</t>
  </si>
  <si>
    <t>RESOURCES INCOME</t>
  </si>
  <si>
    <t>RESOURCES EXPENDITURE</t>
  </si>
  <si>
    <t>358/1</t>
  </si>
  <si>
    <t>Telephones</t>
  </si>
  <si>
    <t>358/2</t>
  </si>
  <si>
    <t>361/1</t>
  </si>
  <si>
    <t xml:space="preserve">Office </t>
  </si>
  <si>
    <t>361/2</t>
  </si>
  <si>
    <t>Computers</t>
  </si>
  <si>
    <t>361/3</t>
  </si>
  <si>
    <t>Computer security/backup</t>
  </si>
  <si>
    <t>361/4</t>
  </si>
  <si>
    <t>Software</t>
  </si>
  <si>
    <t>361/5</t>
  </si>
  <si>
    <t>Photocopiers</t>
  </si>
  <si>
    <t>361/6</t>
  </si>
  <si>
    <t>Other</t>
  </si>
  <si>
    <t>364/1</t>
  </si>
  <si>
    <t>364/2</t>
  </si>
  <si>
    <t>364/3</t>
  </si>
  <si>
    <t>364/4</t>
  </si>
  <si>
    <t>364/5</t>
  </si>
  <si>
    <t>Printing</t>
  </si>
  <si>
    <t>Stationery</t>
  </si>
  <si>
    <t>Newspapers</t>
  </si>
  <si>
    <t>Postage</t>
  </si>
  <si>
    <t>Supplies (misc)</t>
  </si>
  <si>
    <t>368/1</t>
  </si>
  <si>
    <t>368/2</t>
  </si>
  <si>
    <t>Expenses</t>
  </si>
  <si>
    <t>368/3</t>
  </si>
  <si>
    <t>Mayor</t>
  </si>
  <si>
    <t>374/1</t>
  </si>
  <si>
    <t>374/2</t>
  </si>
  <si>
    <t>Lights</t>
  </si>
  <si>
    <t>Storage</t>
  </si>
  <si>
    <t>412/1</t>
  </si>
  <si>
    <t>Herne Hill</t>
  </si>
  <si>
    <t>412/2</t>
  </si>
  <si>
    <t>430/1</t>
  </si>
  <si>
    <t>Sports Club</t>
  </si>
  <si>
    <t>430/2</t>
  </si>
  <si>
    <t>Cricket Club</t>
  </si>
  <si>
    <t>430/3</t>
  </si>
  <si>
    <t>Football Club (Town)</t>
  </si>
  <si>
    <t>430/4</t>
  </si>
  <si>
    <t>Football Club (Youth)</t>
  </si>
  <si>
    <t>430/5</t>
  </si>
  <si>
    <t>Fair</t>
  </si>
  <si>
    <t>552/1</t>
  </si>
  <si>
    <t>552/2</t>
  </si>
  <si>
    <t>552/3</t>
  </si>
  <si>
    <t>552/4</t>
  </si>
  <si>
    <t>552/6</t>
  </si>
  <si>
    <t>Protective Clothing</t>
  </si>
  <si>
    <t>Fire Equipment</t>
  </si>
  <si>
    <t>Electrical Testing</t>
  </si>
  <si>
    <t>Signs &amp; Stationery</t>
  </si>
  <si>
    <t>Misc</t>
  </si>
  <si>
    <t>558/1</t>
  </si>
  <si>
    <t>558/2</t>
  </si>
  <si>
    <t>558/3</t>
  </si>
  <si>
    <t>558/4</t>
  </si>
  <si>
    <t>Mobile Phones</t>
  </si>
  <si>
    <t>Electricity</t>
  </si>
  <si>
    <t xml:space="preserve">Water </t>
  </si>
  <si>
    <t>560/1</t>
  </si>
  <si>
    <t>560/2</t>
  </si>
  <si>
    <t>560/3</t>
  </si>
  <si>
    <t>560/4</t>
  </si>
  <si>
    <t>560/5</t>
  </si>
  <si>
    <t>Machinery</t>
  </si>
  <si>
    <t>Play Equipment</t>
  </si>
  <si>
    <t>Seats</t>
  </si>
  <si>
    <t>Bins</t>
  </si>
  <si>
    <t>Dog bins</t>
  </si>
  <si>
    <t>560/7</t>
  </si>
  <si>
    <t>560/8</t>
  </si>
  <si>
    <t>Tennis Court</t>
  </si>
  <si>
    <t>560/9</t>
  </si>
  <si>
    <t>560/10</t>
  </si>
  <si>
    <t>Trees/hedges</t>
  </si>
  <si>
    <t>Plants</t>
  </si>
  <si>
    <t>560/11</t>
  </si>
  <si>
    <t>Tools</t>
  </si>
  <si>
    <t>560/12</t>
  </si>
  <si>
    <t>560/14</t>
  </si>
  <si>
    <t>Gates &amp; Fencing</t>
  </si>
  <si>
    <t>560/15</t>
  </si>
  <si>
    <t>560/20</t>
  </si>
  <si>
    <t>Vehicles</t>
  </si>
  <si>
    <t>560/6</t>
  </si>
  <si>
    <t>560/16</t>
  </si>
  <si>
    <t>Materials</t>
  </si>
  <si>
    <t>561/1</t>
  </si>
  <si>
    <t>561/2</t>
  </si>
  <si>
    <t>561/3</t>
  </si>
  <si>
    <t>561/4</t>
  </si>
  <si>
    <t>561/5</t>
  </si>
  <si>
    <t>561/6</t>
  </si>
  <si>
    <t>561/7</t>
  </si>
  <si>
    <t>561/8</t>
  </si>
  <si>
    <t>561/9</t>
  </si>
  <si>
    <t>561/10</t>
  </si>
  <si>
    <t>561/11</t>
  </si>
  <si>
    <t>561/12</t>
  </si>
  <si>
    <t>561/13</t>
  </si>
  <si>
    <t>Churchyard</t>
  </si>
  <si>
    <t>Canal</t>
  </si>
  <si>
    <t>Weed Control</t>
  </si>
  <si>
    <t>Fencing/gates</t>
  </si>
  <si>
    <t>561/14</t>
  </si>
  <si>
    <t>563/1</t>
  </si>
  <si>
    <t>Cleaning</t>
  </si>
  <si>
    <t>563/2</t>
  </si>
  <si>
    <t>563/3</t>
  </si>
  <si>
    <t>563/4</t>
  </si>
  <si>
    <t>Servicing/Maintenance</t>
  </si>
  <si>
    <t>563/5</t>
  </si>
  <si>
    <t>Grant</t>
  </si>
  <si>
    <t>762/1</t>
  </si>
  <si>
    <t>762/2</t>
  </si>
  <si>
    <t>Lodge Letting Fees</t>
  </si>
  <si>
    <t>958/1</t>
  </si>
  <si>
    <t>958/2</t>
  </si>
  <si>
    <t>Water</t>
  </si>
  <si>
    <t>TOTAL INCOME</t>
  </si>
  <si>
    <t>TOTAL EXPENDITURE</t>
  </si>
  <si>
    <t>758/1</t>
  </si>
  <si>
    <t>758/2</t>
  </si>
  <si>
    <t>Cemetery Tax</t>
  </si>
  <si>
    <t>SUMMARY</t>
  </si>
  <si>
    <t>Presentation of Awards</t>
  </si>
  <si>
    <t>Membership Fees</t>
  </si>
  <si>
    <t>Renewal contributions</t>
  </si>
  <si>
    <t>Contingency</t>
  </si>
  <si>
    <t>Competitions</t>
  </si>
  <si>
    <t>Renewal contribution</t>
  </si>
  <si>
    <t>Renewals contributions</t>
  </si>
  <si>
    <t>Renewals contribution</t>
  </si>
  <si>
    <t>Market Income</t>
  </si>
  <si>
    <t>Market Expenditure</t>
  </si>
  <si>
    <t>Town Signs</t>
  </si>
  <si>
    <t>Building Maintenance</t>
  </si>
  <si>
    <t>561/15</t>
  </si>
  <si>
    <t>Burma Star Maintenance</t>
  </si>
  <si>
    <t>Contingency store</t>
  </si>
  <si>
    <t>561/16</t>
  </si>
  <si>
    <t>Project Contingency</t>
  </si>
  <si>
    <t>Skate park</t>
  </si>
  <si>
    <t>Recreation Review Expenditure</t>
  </si>
  <si>
    <t>Recreation Review - Income</t>
  </si>
  <si>
    <t>561/17</t>
  </si>
  <si>
    <t>PRECEPT</t>
  </si>
  <si>
    <t>RESOURCES EXPENDITURE TOTAL</t>
  </si>
  <si>
    <t>Market House Income</t>
  </si>
  <si>
    <t>RESOURCES INCOME TOTAL</t>
  </si>
  <si>
    <t>OPEN SPACES INCOME TOTAL</t>
  </si>
  <si>
    <t>OPEN SPACES EXPENDITURE TOTAL</t>
  </si>
  <si>
    <t>430/6</t>
  </si>
  <si>
    <t>Dog Training</t>
  </si>
  <si>
    <t xml:space="preserve">Photocopier </t>
  </si>
  <si>
    <t>Community Resilience</t>
  </si>
  <si>
    <t>Tuck Shop</t>
  </si>
  <si>
    <t>2200/1</t>
  </si>
  <si>
    <t>2200/2</t>
  </si>
  <si>
    <t>Recreation Review</t>
  </si>
  <si>
    <t>Rec Review</t>
  </si>
  <si>
    <t xml:space="preserve">Recreation Review   </t>
  </si>
  <si>
    <t>2000/1</t>
  </si>
  <si>
    <t>2000/2</t>
  </si>
  <si>
    <t>Grants/Revenue Subsidy</t>
  </si>
  <si>
    <t>430/7</t>
  </si>
  <si>
    <t>Fitness classes</t>
  </si>
  <si>
    <t>Tennis Courts</t>
  </si>
  <si>
    <t>Wardens Workshop</t>
  </si>
  <si>
    <t>561/18</t>
  </si>
  <si>
    <t>Budgeted Income 2015/2016</t>
  </si>
  <si>
    <t xml:space="preserve">Actual Income received </t>
  </si>
  <si>
    <t>Forecast for the year 2015/2016</t>
  </si>
  <si>
    <t>To/From Reserves 2015/2016</t>
  </si>
  <si>
    <t>Total Income</t>
  </si>
  <si>
    <t>Variance</t>
  </si>
  <si>
    <t>Total Expenditure</t>
  </si>
  <si>
    <t>Support Services</t>
  </si>
  <si>
    <t>Grounds &amp; Maintenance</t>
  </si>
  <si>
    <t>Public Toilets</t>
  </si>
  <si>
    <t>Cemetery</t>
  </si>
  <si>
    <t>Market House</t>
  </si>
  <si>
    <t xml:space="preserve">Market </t>
  </si>
  <si>
    <t>Government Support Grant</t>
  </si>
  <si>
    <t>Precept</t>
  </si>
  <si>
    <t xml:space="preserve">Total Resources Income less Grants &amp; Market Income  </t>
  </si>
  <si>
    <t xml:space="preserve">Total OS Income, plus Rec Review income </t>
  </si>
  <si>
    <t>Income</t>
  </si>
  <si>
    <t>Expenditure</t>
  </si>
  <si>
    <t>Total Resources less Grants/Revenue subsidy &amp; Market Expenditure less Market House total</t>
  </si>
  <si>
    <t>Total OS Expenditure Less toilets &amp; Churchyard plus Rec Review</t>
  </si>
  <si>
    <t>Expenditure does not include staff costs</t>
  </si>
  <si>
    <t>Interest - Football &amp; Community Facility</t>
  </si>
  <si>
    <t>% of Budget</t>
  </si>
  <si>
    <t>Football &amp; Community Facility</t>
  </si>
  <si>
    <t>Potential Income from 01.09.15-31.03.16</t>
  </si>
  <si>
    <t>due 25/09/15</t>
  </si>
  <si>
    <t>£31.25 per month</t>
  </si>
  <si>
    <t>83.33 per week</t>
  </si>
  <si>
    <t xml:space="preserve">Actual Expenditure </t>
  </si>
  <si>
    <t>Budgeted Expenditure 2015/2016</t>
  </si>
  <si>
    <t>Meeting room hire</t>
  </si>
  <si>
    <t>2KM + 3 R</t>
  </si>
  <si>
    <t>42 per month</t>
  </si>
  <si>
    <t>£50 pending</t>
  </si>
  <si>
    <t>£30 per quarter</t>
  </si>
  <si>
    <t>Reclaim from SSDC &amp; Rates</t>
  </si>
  <si>
    <r>
      <t xml:space="preserve">Potential Income </t>
    </r>
    <r>
      <rPr>
        <b/>
        <sz val="8"/>
        <color theme="1"/>
        <rFont val="Arial"/>
        <family val="2"/>
      </rPr>
      <t>01.09.15-31.03.16</t>
    </r>
  </si>
  <si>
    <r>
      <t xml:space="preserve">Potential Expenditure </t>
    </r>
    <r>
      <rPr>
        <b/>
        <sz val="8"/>
        <color theme="1"/>
        <rFont val="Arial"/>
        <family val="2"/>
      </rPr>
      <t xml:space="preserve"> 01.09.15-31.03.16</t>
    </r>
  </si>
  <si>
    <r>
      <t xml:space="preserve">Potential Expenditure </t>
    </r>
    <r>
      <rPr>
        <b/>
        <sz val="8"/>
        <color theme="1"/>
        <rFont val="Arial"/>
        <family val="2"/>
      </rPr>
      <t>01.09.15-31.03.16</t>
    </r>
  </si>
  <si>
    <t>SWAP old yr inv</t>
  </si>
  <si>
    <t>Youth  2000 +grants 460</t>
  </si>
  <si>
    <t>2BT + 2I + 6 Chess</t>
  </si>
  <si>
    <t>29 x £2.20 per week</t>
  </si>
  <si>
    <t>SLCC</t>
  </si>
  <si>
    <t>Bat survey £850</t>
  </si>
  <si>
    <t>130 ICCM</t>
  </si>
  <si>
    <t>bill 27.50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</si>
</sst>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&quot;£&quot;#,##0.00"/>
    <numFmt numFmtId="165" formatCode="&quot;£&quot;#,##0.00;[Red]&quot;£&quot;#,##0.00"/>
    <numFmt numFmtId="166" formatCode="[Red]&quot;£&quot;#,##0.00;[Green]&quot;£&quot;#,##0.00;&quot;£&quot;#,##0.00"/>
    <numFmt numFmtId="167" formatCode="[Green]&quot;£&quot;#,##0.00;[Red]&quot;£&quot;#,##0.00;&quot;£&quot;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/>
    <xf numFmtId="16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 wrapText="1"/>
    </xf>
    <xf numFmtId="164" fontId="4" fillId="0" borderId="2" xfId="0" applyNumberFormat="1" applyFont="1" applyBorder="1" applyAlignment="1">
      <alignment horizontal="left" wrapText="1"/>
    </xf>
    <xf numFmtId="0" fontId="6" fillId="0" borderId="0" xfId="0" applyFont="1"/>
    <xf numFmtId="164" fontId="6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/>
    <xf numFmtId="16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3" xfId="0" applyFont="1" applyBorder="1" applyAlignment="1">
      <alignment horizontal="left"/>
    </xf>
    <xf numFmtId="0" fontId="6" fillId="0" borderId="0" xfId="0" applyFont="1" applyBorder="1"/>
    <xf numFmtId="164" fontId="3" fillId="0" borderId="2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left" wrapText="1"/>
    </xf>
    <xf numFmtId="0" fontId="7" fillId="0" borderId="0" xfId="0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3" fillId="0" borderId="0" xfId="0" applyFont="1"/>
    <xf numFmtId="164" fontId="9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 wrapText="1"/>
    </xf>
    <xf numFmtId="164" fontId="9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0" fontId="6" fillId="2" borderId="0" xfId="0" applyFont="1" applyFill="1"/>
    <xf numFmtId="0" fontId="3" fillId="2" borderId="0" xfId="0" applyFont="1" applyFill="1" applyBorder="1"/>
    <xf numFmtId="164" fontId="3" fillId="2" borderId="12" xfId="0" applyNumberFormat="1" applyFont="1" applyFill="1" applyBorder="1" applyAlignment="1">
      <alignment horizontal="right"/>
    </xf>
    <xf numFmtId="0" fontId="3" fillId="3" borderId="13" xfId="0" applyFont="1" applyFill="1" applyBorder="1"/>
    <xf numFmtId="164" fontId="3" fillId="3" borderId="13" xfId="0" applyNumberFormat="1" applyFont="1" applyFill="1" applyBorder="1" applyAlignment="1">
      <alignment horizontal="right"/>
    </xf>
    <xf numFmtId="164" fontId="3" fillId="3" borderId="14" xfId="0" applyNumberFormat="1" applyFont="1" applyFill="1" applyBorder="1" applyAlignment="1">
      <alignment horizontal="right"/>
    </xf>
    <xf numFmtId="0" fontId="3" fillId="3" borderId="0" xfId="0" applyFont="1" applyFill="1"/>
    <xf numFmtId="164" fontId="3" fillId="0" borderId="5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3" fillId="0" borderId="15" xfId="0" applyFont="1" applyFill="1" applyBorder="1"/>
    <xf numFmtId="164" fontId="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/>
    <xf numFmtId="164" fontId="3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3" fillId="0" borderId="12" xfId="0" applyFont="1" applyFill="1" applyBorder="1"/>
    <xf numFmtId="165" fontId="2" fillId="0" borderId="1" xfId="0" applyNumberFormat="1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 wrapText="1"/>
    </xf>
    <xf numFmtId="9" fontId="4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right"/>
    </xf>
    <xf numFmtId="0" fontId="3" fillId="0" borderId="17" xfId="0" applyFont="1" applyBorder="1"/>
    <xf numFmtId="0" fontId="7" fillId="0" borderId="12" xfId="0" applyFont="1" applyBorder="1"/>
    <xf numFmtId="164" fontId="9" fillId="3" borderId="2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 wrapText="1"/>
    </xf>
    <xf numFmtId="0" fontId="8" fillId="0" borderId="0" xfId="0" applyFont="1"/>
    <xf numFmtId="164" fontId="6" fillId="0" borderId="4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 wrapText="1"/>
    </xf>
    <xf numFmtId="164" fontId="13" fillId="0" borderId="12" xfId="0" applyNumberFormat="1" applyFont="1" applyFill="1" applyBorder="1" applyAlignment="1">
      <alignment horizontal="right" wrapText="1"/>
    </xf>
    <xf numFmtId="164" fontId="13" fillId="0" borderId="12" xfId="0" applyNumberFormat="1" applyFont="1" applyBorder="1" applyAlignment="1">
      <alignment horizontal="right"/>
    </xf>
    <xf numFmtId="164" fontId="14" fillId="0" borderId="12" xfId="0" applyNumberFormat="1" applyFont="1" applyFill="1" applyBorder="1" applyAlignment="1">
      <alignment horizontal="right"/>
    </xf>
    <xf numFmtId="164" fontId="14" fillId="0" borderId="12" xfId="0" applyNumberFormat="1" applyFont="1" applyBorder="1" applyAlignment="1">
      <alignment horizontal="right" wrapText="1"/>
    </xf>
    <xf numFmtId="164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>
      <alignment horizontal="right" wrapText="1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left" wrapText="1"/>
    </xf>
    <xf numFmtId="164" fontId="3" fillId="0" borderId="12" xfId="0" applyNumberFormat="1" applyFont="1" applyFill="1" applyBorder="1" applyAlignment="1">
      <alignment horizontal="left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right" vertical="center" wrapText="1"/>
    </xf>
    <xf numFmtId="164" fontId="13" fillId="2" borderId="12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164" fontId="11" fillId="2" borderId="12" xfId="0" applyNumberFormat="1" applyFont="1" applyFill="1" applyBorder="1" applyAlignment="1">
      <alignment horizontal="right"/>
    </xf>
    <xf numFmtId="164" fontId="13" fillId="0" borderId="12" xfId="0" applyNumberFormat="1" applyFont="1" applyFill="1" applyBorder="1" applyAlignment="1">
      <alignment horizontal="right"/>
    </xf>
    <xf numFmtId="164" fontId="11" fillId="3" borderId="23" xfId="0" applyNumberFormat="1" applyFont="1" applyFill="1" applyBorder="1" applyAlignment="1">
      <alignment horizontal="right"/>
    </xf>
    <xf numFmtId="164" fontId="12" fillId="0" borderId="12" xfId="0" applyNumberFormat="1" applyFont="1" applyBorder="1" applyAlignment="1">
      <alignment horizontal="right" wrapText="1"/>
    </xf>
    <xf numFmtId="164" fontId="6" fillId="0" borderId="12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/>
    <xf numFmtId="164" fontId="3" fillId="0" borderId="24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3" fillId="0" borderId="12" xfId="0" applyFont="1" applyFill="1" applyBorder="1" applyAlignment="1">
      <alignment horizontal="left"/>
    </xf>
    <xf numFmtId="164" fontId="3" fillId="0" borderId="17" xfId="0" applyNumberFormat="1" applyFont="1" applyFill="1" applyBorder="1"/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2" xfId="0" applyFont="1" applyFill="1" applyBorder="1"/>
    <xf numFmtId="164" fontId="6" fillId="0" borderId="0" xfId="0" applyNumberFormat="1" applyFont="1" applyFill="1" applyAlignment="1">
      <alignment horizontal="right"/>
    </xf>
    <xf numFmtId="0" fontId="15" fillId="0" borderId="0" xfId="0" applyFont="1"/>
    <xf numFmtId="44" fontId="0" fillId="0" borderId="0" xfId="16" applyFont="1"/>
    <xf numFmtId="44" fontId="15" fillId="0" borderId="0" xfId="16" applyFont="1"/>
    <xf numFmtId="2" fontId="0" fillId="0" borderId="0" xfId="0" applyNumberFormat="1"/>
    <xf numFmtId="164" fontId="9" fillId="0" borderId="1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9" fontId="11" fillId="0" borderId="12" xfId="15" applyFont="1" applyFill="1" applyBorder="1" applyAlignment="1">
      <alignment horizontal="right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9" fontId="11" fillId="0" borderId="5" xfId="15" applyFont="1" applyFill="1" applyBorder="1" applyAlignment="1">
      <alignment horizontal="right" wrapText="1"/>
    </xf>
    <xf numFmtId="164" fontId="9" fillId="0" borderId="23" xfId="0" applyNumberFormat="1" applyFont="1" applyFill="1" applyBorder="1" applyAlignment="1">
      <alignment horizontal="right" vertical="center" wrapText="1"/>
    </xf>
    <xf numFmtId="164" fontId="11" fillId="0" borderId="23" xfId="0" applyNumberFormat="1" applyFont="1" applyFill="1" applyBorder="1" applyAlignment="1">
      <alignment horizontal="right" vertical="center" wrapText="1"/>
    </xf>
    <xf numFmtId="164" fontId="11" fillId="0" borderId="27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9" fontId="11" fillId="0" borderId="27" xfId="15" applyFont="1" applyFill="1" applyBorder="1" applyAlignment="1">
      <alignment horizontal="right" wrapText="1"/>
    </xf>
    <xf numFmtId="164" fontId="3" fillId="0" borderId="28" xfId="0" applyNumberFormat="1" applyFont="1" applyBorder="1" applyAlignment="1">
      <alignment horizontal="right"/>
    </xf>
    <xf numFmtId="9" fontId="11" fillId="0" borderId="24" xfId="15" applyFont="1" applyFill="1" applyBorder="1" applyAlignment="1">
      <alignment horizontal="right" wrapText="1"/>
    </xf>
    <xf numFmtId="9" fontId="11" fillId="0" borderId="29" xfId="15" applyFont="1" applyFill="1" applyBorder="1" applyAlignment="1">
      <alignment horizontal="right" wrapText="1"/>
    </xf>
    <xf numFmtId="9" fontId="11" fillId="0" borderId="30" xfId="15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0" fillId="0" borderId="0" xfId="0" applyBorder="1"/>
    <xf numFmtId="164" fontId="13" fillId="0" borderId="0" xfId="0" applyNumberFormat="1" applyFont="1" applyBorder="1" applyAlignment="1">
      <alignment horizontal="right"/>
    </xf>
    <xf numFmtId="0" fontId="3" fillId="0" borderId="31" xfId="0" applyFont="1" applyFill="1" applyBorder="1"/>
    <xf numFmtId="164" fontId="3" fillId="0" borderId="30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9" fontId="11" fillId="0" borderId="10" xfId="15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left"/>
    </xf>
    <xf numFmtId="0" fontId="3" fillId="0" borderId="32" xfId="0" applyFont="1" applyFill="1" applyBorder="1"/>
    <xf numFmtId="0" fontId="6" fillId="0" borderId="8" xfId="0" applyFont="1" applyFill="1" applyBorder="1" applyAlignment="1">
      <alignment horizontal="left"/>
    </xf>
    <xf numFmtId="0" fontId="3" fillId="0" borderId="9" xfId="0" applyFont="1" applyFill="1" applyBorder="1"/>
    <xf numFmtId="164" fontId="3" fillId="0" borderId="9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166" fontId="3" fillId="0" borderId="27" xfId="0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right"/>
    </xf>
    <xf numFmtId="167" fontId="3" fillId="0" borderId="5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3" fillId="0" borderId="24" xfId="0" applyNumberFormat="1" applyFont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6" fontId="3" fillId="0" borderId="33" xfId="0" applyNumberFormat="1" applyFont="1" applyBorder="1" applyAlignment="1">
      <alignment horizontal="right"/>
    </xf>
    <xf numFmtId="164" fontId="16" fillId="0" borderId="5" xfId="0" applyNumberFormat="1" applyFont="1" applyBorder="1" applyAlignment="1">
      <alignment horizontal="right"/>
    </xf>
    <xf numFmtId="164" fontId="16" fillId="0" borderId="5" xfId="0" applyNumberFormat="1" applyFont="1" applyFill="1" applyBorder="1" applyAlignment="1">
      <alignment horizontal="right"/>
    </xf>
    <xf numFmtId="167" fontId="6" fillId="0" borderId="4" xfId="0" applyNumberFormat="1" applyFont="1" applyFill="1" applyBorder="1" applyAlignment="1">
      <alignment horizontal="right"/>
    </xf>
    <xf numFmtId="44" fontId="15" fillId="0" borderId="0" xfId="0" applyNumberFormat="1" applyFont="1"/>
    <xf numFmtId="9" fontId="11" fillId="0" borderId="23" xfId="15" applyFont="1" applyFill="1" applyBorder="1" applyAlignment="1">
      <alignment horizontal="right" wrapText="1"/>
    </xf>
    <xf numFmtId="164" fontId="9" fillId="0" borderId="12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9" fontId="11" fillId="0" borderId="2" xfId="15" applyFont="1" applyFill="1" applyBorder="1" applyAlignment="1">
      <alignment horizontal="right" wrapText="1"/>
    </xf>
    <xf numFmtId="167" fontId="3" fillId="0" borderId="27" xfId="0" applyNumberFormat="1" applyFont="1" applyFill="1" applyBorder="1" applyAlignment="1">
      <alignment horizontal="right"/>
    </xf>
    <xf numFmtId="167" fontId="3" fillId="0" borderId="24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left"/>
    </xf>
    <xf numFmtId="0" fontId="3" fillId="3" borderId="9" xfId="0" applyFont="1" applyFill="1" applyBorder="1"/>
    <xf numFmtId="164" fontId="1" fillId="3" borderId="10" xfId="0" applyNumberFormat="1" applyFont="1" applyFill="1" applyBorder="1" applyAlignment="1">
      <alignment horizontal="right"/>
    </xf>
    <xf numFmtId="164" fontId="6" fillId="3" borderId="9" xfId="0" applyNumberFormat="1" applyFont="1" applyFill="1" applyBorder="1" applyAlignment="1">
      <alignment horizontal="right"/>
    </xf>
    <xf numFmtId="164" fontId="6" fillId="3" borderId="11" xfId="0" applyNumberFormat="1" applyFont="1" applyFill="1" applyBorder="1" applyAlignment="1">
      <alignment horizontal="right"/>
    </xf>
    <xf numFmtId="164" fontId="13" fillId="3" borderId="10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view="pageLayout" workbookViewId="0" topLeftCell="A49">
      <selection activeCell="I6" sqref="I6"/>
    </sheetView>
  </sheetViews>
  <sheetFormatPr defaultColWidth="9.140625" defaultRowHeight="15"/>
  <cols>
    <col min="1" max="1" width="6.7109375" style="26" customWidth="1"/>
    <col min="2" max="2" width="22.7109375" style="4" customWidth="1"/>
    <col min="3" max="3" width="12.8515625" style="5" customWidth="1"/>
    <col min="4" max="4" width="12.28125" style="6" customWidth="1"/>
    <col min="5" max="5" width="14.00390625" style="5" customWidth="1"/>
    <col min="6" max="7" width="12.421875" style="5" customWidth="1"/>
    <col min="8" max="8" width="9.28125" style="82" customWidth="1"/>
    <col min="9" max="9" width="31.7109375" style="82" customWidth="1"/>
    <col min="10" max="10" width="22.8515625" style="3" customWidth="1"/>
    <col min="11" max="11" width="9.140625" style="4" customWidth="1"/>
    <col min="12" max="16384" width="9.140625" style="4" customWidth="1"/>
  </cols>
  <sheetData>
    <row r="1" spans="1:12" s="35" customFormat="1" ht="51.75" thickBot="1">
      <c r="A1" s="31"/>
      <c r="B1" s="32" t="s">
        <v>0</v>
      </c>
      <c r="C1" s="33" t="s">
        <v>226</v>
      </c>
      <c r="D1" s="58" t="s">
        <v>227</v>
      </c>
      <c r="E1" s="34" t="s">
        <v>251</v>
      </c>
      <c r="F1" s="58" t="s">
        <v>230</v>
      </c>
      <c r="G1" s="97" t="s">
        <v>231</v>
      </c>
      <c r="H1" s="131" t="s">
        <v>249</v>
      </c>
      <c r="I1" s="131"/>
      <c r="J1" s="59" t="s">
        <v>40</v>
      </c>
      <c r="L1" s="100" t="s">
        <v>229</v>
      </c>
    </row>
    <row r="2" spans="1:10" s="13" customFormat="1" ht="15">
      <c r="A2" s="8">
        <v>110</v>
      </c>
      <c r="B2" s="9" t="s">
        <v>202</v>
      </c>
      <c r="C2" s="87">
        <v>231223</v>
      </c>
      <c r="D2" s="11">
        <v>231223</v>
      </c>
      <c r="E2" s="87">
        <v>0</v>
      </c>
      <c r="F2" s="87">
        <f>SUM(D2:E2)</f>
        <v>231223</v>
      </c>
      <c r="G2" s="96">
        <f>C2-F2</f>
        <v>0</v>
      </c>
      <c r="H2" s="130">
        <f>(D2/C2)</f>
        <v>1</v>
      </c>
      <c r="I2" s="130"/>
      <c r="J2" s="54" t="s">
        <v>252</v>
      </c>
    </row>
    <row r="3" spans="1:10" s="13" customFormat="1" ht="15">
      <c r="A3" s="55"/>
      <c r="B3" s="53"/>
      <c r="C3" s="87"/>
      <c r="D3" s="11"/>
      <c r="E3" s="12"/>
      <c r="F3" s="74"/>
      <c r="G3" s="95"/>
      <c r="H3" s="77"/>
      <c r="I3" s="77"/>
      <c r="J3" s="54"/>
    </row>
    <row r="4" spans="1:10" s="38" customFormat="1" ht="15.75">
      <c r="A4" s="185" t="s">
        <v>49</v>
      </c>
      <c r="B4" s="186"/>
      <c r="C4" s="71"/>
      <c r="D4" s="36"/>
      <c r="E4" s="37"/>
      <c r="F4" s="36"/>
      <c r="G4" s="98"/>
      <c r="H4" s="101"/>
      <c r="I4" s="101"/>
      <c r="J4" s="62"/>
    </row>
    <row r="5" spans="1:10" s="13" customFormat="1" ht="12" customHeight="1">
      <c r="A5" s="8">
        <v>214</v>
      </c>
      <c r="B5" s="9" t="s">
        <v>41</v>
      </c>
      <c r="C5" s="87">
        <v>375</v>
      </c>
      <c r="D5" s="11">
        <v>330.97</v>
      </c>
      <c r="E5" s="87">
        <v>187.5</v>
      </c>
      <c r="F5" s="87">
        <f aca="true" t="shared" si="0" ref="F5:F13">SUM(D5:E5)</f>
        <v>518.47</v>
      </c>
      <c r="G5" s="158">
        <f aca="true" t="shared" si="1" ref="G5:G14">SUM(C5-F5)</f>
        <v>-143.47000000000003</v>
      </c>
      <c r="H5" s="130">
        <f>(D5/C5)</f>
        <v>0.8825866666666667</v>
      </c>
      <c r="I5" s="130"/>
      <c r="J5" s="2" t="s">
        <v>253</v>
      </c>
    </row>
    <row r="6" spans="1:10" s="13" customFormat="1" ht="15">
      <c r="A6" s="8">
        <v>218</v>
      </c>
      <c r="B6" s="9" t="s">
        <v>1</v>
      </c>
      <c r="C6" s="29">
        <v>0</v>
      </c>
      <c r="D6" s="11">
        <v>0</v>
      </c>
      <c r="E6" s="29">
        <v>0</v>
      </c>
      <c r="F6" s="87">
        <f t="shared" si="0"/>
        <v>0</v>
      </c>
      <c r="G6" s="158">
        <f t="shared" si="1"/>
        <v>0</v>
      </c>
      <c r="H6" s="130"/>
      <c r="I6" s="130"/>
      <c r="J6" s="2"/>
    </row>
    <row r="7" spans="1:10" s="13" customFormat="1" ht="15">
      <c r="A7" s="8">
        <v>219</v>
      </c>
      <c r="B7" s="9" t="s">
        <v>9</v>
      </c>
      <c r="C7" s="29">
        <v>20320</v>
      </c>
      <c r="D7" s="11">
        <v>20320</v>
      </c>
      <c r="E7" s="29">
        <v>0</v>
      </c>
      <c r="F7" s="87">
        <f t="shared" si="0"/>
        <v>20320</v>
      </c>
      <c r="G7" s="158">
        <f t="shared" si="1"/>
        <v>0</v>
      </c>
      <c r="H7" s="130">
        <f aca="true" t="shared" si="2" ref="H7:H8">(D7/C7)</f>
        <v>1</v>
      </c>
      <c r="I7" s="130"/>
      <c r="J7" s="2" t="s">
        <v>252</v>
      </c>
    </row>
    <row r="8" spans="1:10" s="13" customFormat="1" ht="15">
      <c r="A8" s="8">
        <v>220</v>
      </c>
      <c r="B8" s="9" t="s">
        <v>2</v>
      </c>
      <c r="C8" s="29">
        <v>10</v>
      </c>
      <c r="D8" s="11">
        <v>0</v>
      </c>
      <c r="E8" s="29">
        <v>0</v>
      </c>
      <c r="F8" s="87">
        <f t="shared" si="0"/>
        <v>0</v>
      </c>
      <c r="G8" s="158">
        <f t="shared" si="1"/>
        <v>10</v>
      </c>
      <c r="H8" s="130">
        <f t="shared" si="2"/>
        <v>0</v>
      </c>
      <c r="I8" s="130"/>
      <c r="J8" s="2"/>
    </row>
    <row r="9" spans="1:10" s="13" customFormat="1" ht="15">
      <c r="A9" s="8">
        <v>221</v>
      </c>
      <c r="B9" s="9" t="s">
        <v>3</v>
      </c>
      <c r="C9" s="29">
        <v>0</v>
      </c>
      <c r="D9" s="11">
        <v>10</v>
      </c>
      <c r="E9" s="29">
        <v>0</v>
      </c>
      <c r="F9" s="87">
        <f t="shared" si="0"/>
        <v>10</v>
      </c>
      <c r="G9" s="158">
        <f t="shared" si="1"/>
        <v>-10</v>
      </c>
      <c r="H9" s="130"/>
      <c r="I9" s="130"/>
      <c r="J9" s="2"/>
    </row>
    <row r="10" spans="1:10" s="13" customFormat="1" ht="15">
      <c r="A10" s="8">
        <v>222</v>
      </c>
      <c r="B10" s="9" t="s">
        <v>4</v>
      </c>
      <c r="C10" s="29">
        <v>0</v>
      </c>
      <c r="D10" s="11">
        <v>0</v>
      </c>
      <c r="E10" s="29">
        <v>0</v>
      </c>
      <c r="F10" s="87">
        <f t="shared" si="0"/>
        <v>0</v>
      </c>
      <c r="G10" s="158">
        <f t="shared" si="1"/>
        <v>0</v>
      </c>
      <c r="H10" s="130"/>
      <c r="I10" s="130"/>
      <c r="J10" s="2"/>
    </row>
    <row r="11" spans="1:10" s="13" customFormat="1" ht="21.75" customHeight="1">
      <c r="A11" s="8">
        <v>224</v>
      </c>
      <c r="B11" s="9" t="s">
        <v>5</v>
      </c>
      <c r="C11" s="29">
        <v>1000</v>
      </c>
      <c r="D11" s="11">
        <v>0</v>
      </c>
      <c r="E11" s="29">
        <v>1000</v>
      </c>
      <c r="F11" s="87">
        <f t="shared" si="0"/>
        <v>1000</v>
      </c>
      <c r="G11" s="158">
        <f t="shared" si="1"/>
        <v>0</v>
      </c>
      <c r="H11" s="130">
        <f>(D11/C11)</f>
        <v>0</v>
      </c>
      <c r="I11" s="130"/>
      <c r="J11" s="2"/>
    </row>
    <row r="12" spans="1:10" s="13" customFormat="1" ht="15">
      <c r="A12" s="8">
        <v>232</v>
      </c>
      <c r="B12" s="9" t="s">
        <v>6</v>
      </c>
      <c r="C12" s="29">
        <v>0</v>
      </c>
      <c r="D12" s="11">
        <v>2509.5</v>
      </c>
      <c r="E12" s="29">
        <v>0</v>
      </c>
      <c r="F12" s="87">
        <f t="shared" si="0"/>
        <v>2509.5</v>
      </c>
      <c r="G12" s="158">
        <f t="shared" si="1"/>
        <v>-2509.5</v>
      </c>
      <c r="H12" s="102"/>
      <c r="I12" s="102"/>
      <c r="J12" s="2"/>
    </row>
    <row r="13" spans="1:10" s="13" customFormat="1" ht="24" customHeight="1">
      <c r="A13" s="8">
        <v>234</v>
      </c>
      <c r="B13" s="47" t="s">
        <v>7</v>
      </c>
      <c r="C13" s="87">
        <v>0</v>
      </c>
      <c r="D13" s="48">
        <v>5070.51</v>
      </c>
      <c r="E13" s="87">
        <v>0</v>
      </c>
      <c r="F13" s="87">
        <f t="shared" si="0"/>
        <v>5070.51</v>
      </c>
      <c r="G13" s="159">
        <f t="shared" si="1"/>
        <v>-5070.51</v>
      </c>
      <c r="H13" s="130"/>
      <c r="I13" s="130"/>
      <c r="J13" s="2"/>
    </row>
    <row r="14" spans="1:10" s="13" customFormat="1" ht="15">
      <c r="A14" s="8"/>
      <c r="B14" s="49" t="s">
        <v>8</v>
      </c>
      <c r="C14" s="45">
        <f>SUM(C5:C13)</f>
        <v>21705</v>
      </c>
      <c r="D14" s="45">
        <f>SUM(D5:D13)</f>
        <v>28240.980000000003</v>
      </c>
      <c r="E14" s="45">
        <f>SUM(E5:E13)</f>
        <v>1187.5</v>
      </c>
      <c r="F14" s="45">
        <f>SUM(F5:F13)</f>
        <v>29428.480000000003</v>
      </c>
      <c r="G14" s="160">
        <f t="shared" si="1"/>
        <v>-7723.480000000003</v>
      </c>
      <c r="H14" s="132">
        <f>(D14/C14)</f>
        <v>1.3011278507256394</v>
      </c>
      <c r="I14" s="130"/>
      <c r="J14" s="2"/>
    </row>
    <row r="15" spans="1:10" s="13" customFormat="1" ht="15">
      <c r="A15" s="8"/>
      <c r="B15" s="9"/>
      <c r="C15" s="88"/>
      <c r="D15" s="11"/>
      <c r="E15" s="88"/>
      <c r="F15" s="88"/>
      <c r="G15" s="96"/>
      <c r="H15" s="78"/>
      <c r="I15" s="78"/>
      <c r="J15" s="2"/>
    </row>
    <row r="16" spans="1:10" s="13" customFormat="1" ht="15">
      <c r="A16" s="8"/>
      <c r="B16" s="46" t="s">
        <v>204</v>
      </c>
      <c r="C16" s="88"/>
      <c r="D16" s="11"/>
      <c r="E16" s="88"/>
      <c r="F16" s="88"/>
      <c r="G16" s="96"/>
      <c r="H16" s="78"/>
      <c r="I16" s="78"/>
      <c r="J16" s="2"/>
    </row>
    <row r="17" spans="1:10" s="13" customFormat="1" ht="15">
      <c r="A17" s="8">
        <v>832</v>
      </c>
      <c r="B17" s="47" t="s">
        <v>6</v>
      </c>
      <c r="C17" s="87">
        <v>0</v>
      </c>
      <c r="D17" s="48">
        <v>0</v>
      </c>
      <c r="E17" s="87">
        <v>0</v>
      </c>
      <c r="F17" s="87">
        <f aca="true" t="shared" si="3" ref="F17">SUM(D17:E17)</f>
        <v>0</v>
      </c>
      <c r="G17" s="159">
        <f aca="true" t="shared" si="4" ref="G17:G24">SUM(C17-F17)</f>
        <v>0</v>
      </c>
      <c r="H17" s="78"/>
      <c r="I17" s="78"/>
      <c r="J17" s="2"/>
    </row>
    <row r="18" spans="1:10" s="13" customFormat="1" ht="15">
      <c r="A18" s="8"/>
      <c r="B18" s="49" t="s">
        <v>8</v>
      </c>
      <c r="C18" s="45">
        <f>SUM(C17)</f>
        <v>0</v>
      </c>
      <c r="D18" s="45">
        <f>SUM(D17)</f>
        <v>0</v>
      </c>
      <c r="E18" s="45">
        <f>SUM(E17)</f>
        <v>0</v>
      </c>
      <c r="F18" s="45">
        <f>SUM(F17)</f>
        <v>0</v>
      </c>
      <c r="G18" s="160">
        <f t="shared" si="4"/>
        <v>0</v>
      </c>
      <c r="H18" s="45"/>
      <c r="I18" s="99"/>
      <c r="J18" s="2"/>
    </row>
    <row r="19" spans="1:10" s="13" customFormat="1" ht="15">
      <c r="A19" s="8"/>
      <c r="B19" s="9"/>
      <c r="C19" s="88"/>
      <c r="D19" s="11"/>
      <c r="E19" s="88"/>
      <c r="F19" s="88"/>
      <c r="G19" s="158"/>
      <c r="H19" s="78"/>
      <c r="I19" s="78"/>
      <c r="J19" s="2"/>
    </row>
    <row r="20" spans="1:10" s="13" customFormat="1" ht="15">
      <c r="A20" s="8"/>
      <c r="B20" s="46" t="s">
        <v>189</v>
      </c>
      <c r="C20" s="88"/>
      <c r="D20" s="11"/>
      <c r="E20" s="88"/>
      <c r="F20" s="88"/>
      <c r="G20" s="158"/>
      <c r="H20" s="78"/>
      <c r="I20" s="78"/>
      <c r="J20" s="2"/>
    </row>
    <row r="21" spans="1:10" s="13" customFormat="1" ht="15">
      <c r="A21" s="8">
        <v>1000</v>
      </c>
      <c r="B21" s="9" t="s">
        <v>189</v>
      </c>
      <c r="C21" s="87">
        <v>4500</v>
      </c>
      <c r="D21" s="11">
        <v>2179.4</v>
      </c>
      <c r="E21" s="87">
        <v>2416.67</v>
      </c>
      <c r="F21" s="87">
        <f aca="true" t="shared" si="5" ref="F21">SUM(D21:E21)</f>
        <v>4596.07</v>
      </c>
      <c r="G21" s="159">
        <f t="shared" si="4"/>
        <v>-96.06999999999971</v>
      </c>
      <c r="H21" s="130">
        <f>(D21/C21)</f>
        <v>0.48431111111111114</v>
      </c>
      <c r="I21" s="130"/>
      <c r="J21" s="2" t="s">
        <v>254</v>
      </c>
    </row>
    <row r="22" spans="1:10" ht="15">
      <c r="A22" s="14"/>
      <c r="B22" s="66" t="s">
        <v>8</v>
      </c>
      <c r="C22" s="22">
        <f>SUM(C21)</f>
        <v>4500</v>
      </c>
      <c r="D22" s="22">
        <f>SUM(D21)</f>
        <v>2179.4</v>
      </c>
      <c r="E22" s="22">
        <f>SUM(E21)</f>
        <v>2416.67</v>
      </c>
      <c r="F22" s="22">
        <f>SUM(F21)</f>
        <v>4596.07</v>
      </c>
      <c r="G22" s="160">
        <f t="shared" si="4"/>
        <v>-96.06999999999971</v>
      </c>
      <c r="H22" s="132">
        <f>(D22/C22)</f>
        <v>0.48431111111111114</v>
      </c>
      <c r="I22" s="130"/>
      <c r="J22" s="28"/>
    </row>
    <row r="23" spans="1:10" ht="15">
      <c r="A23" s="51"/>
      <c r="B23" s="15"/>
      <c r="C23" s="65"/>
      <c r="D23" s="7"/>
      <c r="E23" s="65"/>
      <c r="F23" s="65"/>
      <c r="G23" s="160"/>
      <c r="H23" s="79"/>
      <c r="I23" s="79"/>
      <c r="J23" s="1"/>
    </row>
    <row r="24" spans="1:10" ht="15">
      <c r="A24" s="189" t="s">
        <v>205</v>
      </c>
      <c r="B24" s="190"/>
      <c r="C24" s="50">
        <f>SUM(C14+C18+C22)</f>
        <v>26205</v>
      </c>
      <c r="D24" s="50">
        <f>SUM(D14+D18+D22)</f>
        <v>30420.380000000005</v>
      </c>
      <c r="E24" s="50">
        <f>SUM(E14+E18+E22)</f>
        <v>3604.17</v>
      </c>
      <c r="F24" s="50">
        <f>SUM(F14+F18+F22)</f>
        <v>34024.55</v>
      </c>
      <c r="G24" s="160">
        <f t="shared" si="4"/>
        <v>-7819.550000000003</v>
      </c>
      <c r="H24" s="132">
        <f>(D24/C24)</f>
        <v>1.1608616676206833</v>
      </c>
      <c r="I24" s="130"/>
      <c r="J24" s="28"/>
    </row>
    <row r="25" spans="1:10" ht="15">
      <c r="A25" s="60"/>
      <c r="B25" s="61"/>
      <c r="C25" s="25"/>
      <c r="D25" s="21"/>
      <c r="E25" s="25"/>
      <c r="F25" s="21"/>
      <c r="G25" s="96"/>
      <c r="H25" s="103"/>
      <c r="I25" s="103"/>
      <c r="J25" s="28"/>
    </row>
    <row r="26" spans="1:10" ht="13.5" thickBot="1">
      <c r="A26" s="60"/>
      <c r="B26" s="61"/>
      <c r="C26" s="25"/>
      <c r="D26" s="21"/>
      <c r="E26" s="25"/>
      <c r="F26" s="21"/>
      <c r="G26" s="96"/>
      <c r="H26" s="103"/>
      <c r="I26" s="103"/>
      <c r="J26" s="28"/>
    </row>
    <row r="27" spans="1:10" s="13" customFormat="1" ht="39" thickBot="1">
      <c r="A27" s="31" t="s">
        <v>42</v>
      </c>
      <c r="B27" s="32" t="s">
        <v>0</v>
      </c>
      <c r="C27" s="33" t="s">
        <v>256</v>
      </c>
      <c r="D27" s="58" t="s">
        <v>255</v>
      </c>
      <c r="E27" s="34" t="s">
        <v>264</v>
      </c>
      <c r="F27" s="58" t="s">
        <v>232</v>
      </c>
      <c r="G27" s="97" t="s">
        <v>231</v>
      </c>
      <c r="H27" s="131" t="s">
        <v>249</v>
      </c>
      <c r="I27" s="131"/>
      <c r="J27" s="59" t="s">
        <v>40</v>
      </c>
    </row>
    <row r="28" spans="1:10" s="38" customFormat="1" ht="15.75">
      <c r="A28" s="56" t="s">
        <v>50</v>
      </c>
      <c r="B28" s="39"/>
      <c r="C28" s="73"/>
      <c r="D28" s="40"/>
      <c r="E28" s="40"/>
      <c r="F28" s="72"/>
      <c r="G28" s="40"/>
      <c r="H28" s="104"/>
      <c r="I28" s="104"/>
      <c r="J28" s="57"/>
    </row>
    <row r="29" spans="1:10" s="13" customFormat="1" ht="15">
      <c r="A29" s="8">
        <v>350</v>
      </c>
      <c r="B29" s="9" t="s">
        <v>10</v>
      </c>
      <c r="C29" s="29">
        <v>121000</v>
      </c>
      <c r="D29" s="11">
        <v>60555.44</v>
      </c>
      <c r="E29" s="29">
        <v>60706.55</v>
      </c>
      <c r="F29" s="29">
        <f>SUM(D29:E29)</f>
        <v>121261.99</v>
      </c>
      <c r="G29" s="161">
        <f>SUM(C29-F29)</f>
        <v>-261.99000000000524</v>
      </c>
      <c r="H29" s="130">
        <f aca="true" t="shared" si="6" ref="H29:H61">(D29/C29)</f>
        <v>0.5004581818181818</v>
      </c>
      <c r="I29" s="130"/>
      <c r="J29" s="70"/>
    </row>
    <row r="30" spans="1:10" s="13" customFormat="1" ht="15">
      <c r="A30" s="8">
        <v>351</v>
      </c>
      <c r="B30" s="9" t="s">
        <v>11</v>
      </c>
      <c r="C30" s="29">
        <v>2080</v>
      </c>
      <c r="D30" s="10">
        <v>185</v>
      </c>
      <c r="E30" s="29">
        <v>130</v>
      </c>
      <c r="F30" s="29">
        <f aca="true" t="shared" si="7" ref="F30:F35">SUM(D30:E30)</f>
        <v>315</v>
      </c>
      <c r="G30" s="161">
        <f aca="true" t="shared" si="8" ref="G30:G61">SUM(C30-F30)</f>
        <v>1765</v>
      </c>
      <c r="H30" s="130">
        <f t="shared" si="6"/>
        <v>0.0889423076923077</v>
      </c>
      <c r="I30" s="130"/>
      <c r="J30" s="2" t="s">
        <v>272</v>
      </c>
    </row>
    <row r="31" spans="1:10" s="13" customFormat="1" ht="15">
      <c r="A31" s="8">
        <v>352</v>
      </c>
      <c r="B31" s="9" t="s">
        <v>12</v>
      </c>
      <c r="C31" s="29">
        <v>100</v>
      </c>
      <c r="D31" s="11">
        <v>0</v>
      </c>
      <c r="E31" s="29">
        <v>100</v>
      </c>
      <c r="F31" s="29">
        <f t="shared" si="7"/>
        <v>100</v>
      </c>
      <c r="G31" s="161">
        <f t="shared" si="8"/>
        <v>0</v>
      </c>
      <c r="H31" s="130">
        <f t="shared" si="6"/>
        <v>0</v>
      </c>
      <c r="I31" s="130"/>
      <c r="J31" s="2"/>
    </row>
    <row r="32" spans="1:10" s="13" customFormat="1" ht="15">
      <c r="A32" s="8">
        <v>354</v>
      </c>
      <c r="B32" s="9" t="s">
        <v>13</v>
      </c>
      <c r="C32" s="29">
        <v>450</v>
      </c>
      <c r="D32" s="11">
        <v>422.56</v>
      </c>
      <c r="E32" s="29">
        <v>0</v>
      </c>
      <c r="F32" s="29">
        <f t="shared" si="7"/>
        <v>422.56</v>
      </c>
      <c r="G32" s="161">
        <f t="shared" si="8"/>
        <v>27.439999999999998</v>
      </c>
      <c r="H32" s="130">
        <f t="shared" si="6"/>
        <v>0.9390222222222222</v>
      </c>
      <c r="I32" s="130"/>
      <c r="J32" s="69"/>
    </row>
    <row r="33" spans="1:10" s="13" customFormat="1" ht="12" customHeight="1">
      <c r="A33" s="8">
        <v>355</v>
      </c>
      <c r="B33" s="9" t="s">
        <v>185</v>
      </c>
      <c r="C33" s="29">
        <v>70</v>
      </c>
      <c r="D33" s="11">
        <v>70</v>
      </c>
      <c r="E33" s="29">
        <v>0</v>
      </c>
      <c r="F33" s="29">
        <f t="shared" si="7"/>
        <v>70</v>
      </c>
      <c r="G33" s="161">
        <f t="shared" si="8"/>
        <v>0</v>
      </c>
      <c r="H33" s="130">
        <f t="shared" si="6"/>
        <v>1</v>
      </c>
      <c r="I33" s="130"/>
      <c r="J33" s="2"/>
    </row>
    <row r="34" spans="1:10" s="13" customFormat="1" ht="15">
      <c r="A34" s="8">
        <v>356</v>
      </c>
      <c r="B34" s="9" t="s">
        <v>220</v>
      </c>
      <c r="C34" s="29">
        <v>3900</v>
      </c>
      <c r="D34" s="11">
        <v>1340</v>
      </c>
      <c r="E34" s="29">
        <v>2560</v>
      </c>
      <c r="F34" s="29">
        <f t="shared" si="7"/>
        <v>3900</v>
      </c>
      <c r="G34" s="161">
        <f t="shared" si="8"/>
        <v>0</v>
      </c>
      <c r="H34" s="130">
        <f t="shared" si="6"/>
        <v>0.3435897435897436</v>
      </c>
      <c r="I34" s="130"/>
      <c r="J34" s="2" t="s">
        <v>267</v>
      </c>
    </row>
    <row r="35" spans="1:10" s="13" customFormat="1" ht="15">
      <c r="A35" s="8">
        <v>357</v>
      </c>
      <c r="B35" s="9" t="s">
        <v>181</v>
      </c>
      <c r="C35" s="29">
        <v>200</v>
      </c>
      <c r="D35" s="11">
        <v>0</v>
      </c>
      <c r="E35" s="29">
        <v>200</v>
      </c>
      <c r="F35" s="29">
        <f t="shared" si="7"/>
        <v>200</v>
      </c>
      <c r="G35" s="161">
        <f t="shared" si="8"/>
        <v>0</v>
      </c>
      <c r="H35" s="130">
        <f t="shared" si="6"/>
        <v>0</v>
      </c>
      <c r="I35" s="130"/>
      <c r="J35" s="2"/>
    </row>
    <row r="36" spans="1:10" s="13" customFormat="1" ht="15">
      <c r="A36" s="8">
        <v>358</v>
      </c>
      <c r="B36" s="9" t="s">
        <v>14</v>
      </c>
      <c r="C36" s="29">
        <f>SUM(C37:C38)</f>
        <v>7390</v>
      </c>
      <c r="D36" s="29">
        <f>SUM(D37:D38)</f>
        <v>5429.59</v>
      </c>
      <c r="E36" s="29">
        <f>SUM(E37:E38)</f>
        <v>1950.34</v>
      </c>
      <c r="F36" s="29">
        <f>SUM(F37:F38)</f>
        <v>7379.93</v>
      </c>
      <c r="G36" s="161">
        <f t="shared" si="8"/>
        <v>10.069999999999709</v>
      </c>
      <c r="H36" s="130">
        <f t="shared" si="6"/>
        <v>0.7347212449255751</v>
      </c>
      <c r="I36" s="130"/>
      <c r="J36" s="2"/>
    </row>
    <row r="37" spans="1:10" ht="15">
      <c r="A37" s="14" t="s">
        <v>51</v>
      </c>
      <c r="B37" s="15" t="s">
        <v>24</v>
      </c>
      <c r="C37" s="88">
        <v>5400</v>
      </c>
      <c r="D37" s="7">
        <v>4499.71</v>
      </c>
      <c r="E37" s="88">
        <v>940.29</v>
      </c>
      <c r="F37" s="29">
        <f aca="true" t="shared" si="9" ref="F37:F40">SUM(D37:E37)</f>
        <v>5440</v>
      </c>
      <c r="G37" s="161">
        <f t="shared" si="8"/>
        <v>-40</v>
      </c>
      <c r="H37" s="130">
        <f t="shared" si="6"/>
        <v>0.8332796296296296</v>
      </c>
      <c r="I37" s="130"/>
      <c r="J37" s="1" t="s">
        <v>257</v>
      </c>
    </row>
    <row r="38" spans="1:10" ht="15">
      <c r="A38" s="14" t="s">
        <v>53</v>
      </c>
      <c r="B38" s="15" t="s">
        <v>52</v>
      </c>
      <c r="C38" s="89">
        <v>1990</v>
      </c>
      <c r="D38" s="7">
        <v>929.88</v>
      </c>
      <c r="E38" s="89">
        <v>1010.05</v>
      </c>
      <c r="F38" s="29">
        <f t="shared" si="9"/>
        <v>1939.9299999999998</v>
      </c>
      <c r="G38" s="161">
        <f t="shared" si="8"/>
        <v>50.070000000000164</v>
      </c>
      <c r="H38" s="130">
        <f t="shared" si="6"/>
        <v>0.46727638190954773</v>
      </c>
      <c r="I38" s="130"/>
      <c r="J38" s="1" t="s">
        <v>268</v>
      </c>
    </row>
    <row r="39" spans="1:10" s="13" customFormat="1" ht="15">
      <c r="A39" s="8">
        <v>359</v>
      </c>
      <c r="B39" s="9" t="s">
        <v>15</v>
      </c>
      <c r="C39" s="29">
        <v>258</v>
      </c>
      <c r="D39" s="11">
        <v>152.84</v>
      </c>
      <c r="E39" s="29">
        <v>105.16</v>
      </c>
      <c r="F39" s="29">
        <f t="shared" si="9"/>
        <v>258</v>
      </c>
      <c r="G39" s="161">
        <f t="shared" si="8"/>
        <v>0</v>
      </c>
      <c r="H39" s="130">
        <f t="shared" si="6"/>
        <v>0.5924031007751938</v>
      </c>
      <c r="I39" s="130"/>
      <c r="J39" s="63"/>
    </row>
    <row r="40" spans="1:10" s="13" customFormat="1" ht="15">
      <c r="A40" s="8">
        <v>360</v>
      </c>
      <c r="B40" s="9" t="s">
        <v>47</v>
      </c>
      <c r="C40" s="87">
        <v>100</v>
      </c>
      <c r="D40" s="11">
        <v>61.19</v>
      </c>
      <c r="E40" s="87">
        <v>38.81</v>
      </c>
      <c r="F40" s="29">
        <f t="shared" si="9"/>
        <v>100</v>
      </c>
      <c r="G40" s="161">
        <f t="shared" si="8"/>
        <v>0</v>
      </c>
      <c r="H40" s="130">
        <f t="shared" si="6"/>
        <v>0.6119</v>
      </c>
      <c r="I40" s="130"/>
      <c r="J40" s="2"/>
    </row>
    <row r="41" spans="1:10" s="13" customFormat="1" ht="15">
      <c r="A41" s="8">
        <v>361</v>
      </c>
      <c r="B41" s="9" t="s">
        <v>18</v>
      </c>
      <c r="C41" s="29">
        <f>SUM(C42:C47)</f>
        <v>2390</v>
      </c>
      <c r="D41" s="29">
        <f>SUM(D42:D47)</f>
        <v>601.61</v>
      </c>
      <c r="E41" s="29">
        <f>SUM(E42:E47)</f>
        <v>2230</v>
      </c>
      <c r="F41" s="29">
        <f>SUM(F42:F47)</f>
        <v>2831.61</v>
      </c>
      <c r="G41" s="161">
        <f t="shared" si="8"/>
        <v>-441.6100000000001</v>
      </c>
      <c r="H41" s="130">
        <f t="shared" si="6"/>
        <v>0.25171966527196654</v>
      </c>
      <c r="I41" s="130"/>
      <c r="J41" s="2"/>
    </row>
    <row r="42" spans="1:10" ht="15">
      <c r="A42" s="14" t="s">
        <v>54</v>
      </c>
      <c r="B42" s="15" t="s">
        <v>55</v>
      </c>
      <c r="C42" s="65">
        <v>100</v>
      </c>
      <c r="D42" s="7">
        <v>0</v>
      </c>
      <c r="E42" s="65">
        <v>100</v>
      </c>
      <c r="F42" s="89">
        <f aca="true" t="shared" si="10" ref="F42:F49">SUM(D42:E42)</f>
        <v>100</v>
      </c>
      <c r="G42" s="161">
        <f t="shared" si="8"/>
        <v>0</v>
      </c>
      <c r="H42" s="130">
        <f t="shared" si="6"/>
        <v>0</v>
      </c>
      <c r="I42" s="130"/>
      <c r="J42" s="1"/>
    </row>
    <row r="43" spans="1:10" ht="15">
      <c r="A43" s="14" t="s">
        <v>56</v>
      </c>
      <c r="B43" s="15" t="s">
        <v>57</v>
      </c>
      <c r="C43" s="65">
        <v>200</v>
      </c>
      <c r="D43" s="7">
        <v>0</v>
      </c>
      <c r="E43" s="65">
        <v>200</v>
      </c>
      <c r="F43" s="89">
        <f t="shared" si="10"/>
        <v>200</v>
      </c>
      <c r="G43" s="161">
        <f t="shared" si="8"/>
        <v>0</v>
      </c>
      <c r="H43" s="130">
        <f t="shared" si="6"/>
        <v>0</v>
      </c>
      <c r="I43" s="130"/>
      <c r="J43" s="1"/>
    </row>
    <row r="44" spans="1:10" ht="15">
      <c r="A44" s="14" t="s">
        <v>58</v>
      </c>
      <c r="B44" s="15" t="s">
        <v>59</v>
      </c>
      <c r="C44" s="65">
        <v>600</v>
      </c>
      <c r="D44" s="7">
        <v>0</v>
      </c>
      <c r="E44" s="65">
        <v>600</v>
      </c>
      <c r="F44" s="89">
        <f t="shared" si="10"/>
        <v>600</v>
      </c>
      <c r="G44" s="161">
        <f t="shared" si="8"/>
        <v>0</v>
      </c>
      <c r="H44" s="130">
        <f t="shared" si="6"/>
        <v>0</v>
      </c>
      <c r="I44" s="130"/>
      <c r="J44" s="64"/>
    </row>
    <row r="45" spans="1:10" ht="15">
      <c r="A45" s="14" t="s">
        <v>60</v>
      </c>
      <c r="B45" s="15" t="s">
        <v>61</v>
      </c>
      <c r="C45" s="65">
        <v>600</v>
      </c>
      <c r="D45" s="7">
        <v>0</v>
      </c>
      <c r="E45" s="65">
        <v>600</v>
      </c>
      <c r="F45" s="89">
        <f t="shared" si="10"/>
        <v>600</v>
      </c>
      <c r="G45" s="161">
        <f t="shared" si="8"/>
        <v>0</v>
      </c>
      <c r="H45" s="130">
        <f t="shared" si="6"/>
        <v>0</v>
      </c>
      <c r="I45" s="130"/>
      <c r="J45" s="64"/>
    </row>
    <row r="46" spans="1:10" ht="15">
      <c r="A46" s="14" t="s">
        <v>62</v>
      </c>
      <c r="B46" s="15" t="s">
        <v>63</v>
      </c>
      <c r="C46" s="89">
        <v>790</v>
      </c>
      <c r="D46" s="7">
        <v>601.61</v>
      </c>
      <c r="E46" s="89">
        <v>630</v>
      </c>
      <c r="F46" s="89">
        <f t="shared" si="10"/>
        <v>1231.6100000000001</v>
      </c>
      <c r="G46" s="161">
        <f t="shared" si="8"/>
        <v>-441.6100000000001</v>
      </c>
      <c r="H46" s="130">
        <f t="shared" si="6"/>
        <v>0.7615316455696203</v>
      </c>
      <c r="I46" s="130"/>
      <c r="J46" s="1" t="s">
        <v>258</v>
      </c>
    </row>
    <row r="47" spans="1:10" ht="15">
      <c r="A47" s="14" t="s">
        <v>64</v>
      </c>
      <c r="B47" s="15" t="s">
        <v>65</v>
      </c>
      <c r="C47" s="65">
        <v>100</v>
      </c>
      <c r="D47" s="7">
        <v>0</v>
      </c>
      <c r="E47" s="65">
        <v>100</v>
      </c>
      <c r="F47" s="89">
        <f t="shared" si="10"/>
        <v>100</v>
      </c>
      <c r="G47" s="161">
        <f t="shared" si="8"/>
        <v>0</v>
      </c>
      <c r="H47" s="130">
        <f t="shared" si="6"/>
        <v>0</v>
      </c>
      <c r="I47" s="130"/>
      <c r="J47" s="1"/>
    </row>
    <row r="48" spans="1:10" s="13" customFormat="1" ht="15">
      <c r="A48" s="8">
        <v>362</v>
      </c>
      <c r="B48" s="9" t="s">
        <v>16</v>
      </c>
      <c r="C48" s="29">
        <v>512</v>
      </c>
      <c r="D48" s="11">
        <v>0</v>
      </c>
      <c r="E48" s="29">
        <v>512</v>
      </c>
      <c r="F48" s="29">
        <f t="shared" si="10"/>
        <v>512</v>
      </c>
      <c r="G48" s="161">
        <f t="shared" si="8"/>
        <v>0</v>
      </c>
      <c r="H48" s="130">
        <f t="shared" si="6"/>
        <v>0</v>
      </c>
      <c r="I48" s="130"/>
      <c r="J48" s="2"/>
    </row>
    <row r="49" spans="1:10" s="13" customFormat="1" ht="15">
      <c r="A49" s="8">
        <v>363</v>
      </c>
      <c r="B49" s="9" t="s">
        <v>17</v>
      </c>
      <c r="C49" s="29">
        <v>600</v>
      </c>
      <c r="D49" s="11">
        <v>261.76</v>
      </c>
      <c r="E49" s="29">
        <v>258</v>
      </c>
      <c r="F49" s="29">
        <f t="shared" si="10"/>
        <v>519.76</v>
      </c>
      <c r="G49" s="161">
        <f t="shared" si="8"/>
        <v>80.24000000000001</v>
      </c>
      <c r="H49" s="130">
        <f t="shared" si="6"/>
        <v>0.43626666666666664</v>
      </c>
      <c r="I49" s="130"/>
      <c r="J49" s="2" t="s">
        <v>259</v>
      </c>
    </row>
    <row r="50" spans="1:10" s="13" customFormat="1" ht="15">
      <c r="A50" s="8">
        <v>364</v>
      </c>
      <c r="B50" s="9" t="s">
        <v>19</v>
      </c>
      <c r="C50" s="29">
        <f>SUM(C51:C55)</f>
        <v>2338</v>
      </c>
      <c r="D50" s="29">
        <f>SUM(D51:D55)</f>
        <v>1011.42</v>
      </c>
      <c r="E50" s="29">
        <f>SUM(E51:E55)</f>
        <v>1331.58</v>
      </c>
      <c r="F50" s="29">
        <f>SUM(F51:F55)</f>
        <v>2343</v>
      </c>
      <c r="G50" s="161">
        <f t="shared" si="8"/>
        <v>-5</v>
      </c>
      <c r="H50" s="130">
        <f t="shared" si="6"/>
        <v>0.43260051325919585</v>
      </c>
      <c r="I50" s="130"/>
      <c r="J50" s="2"/>
    </row>
    <row r="51" spans="1:10" ht="12" customHeight="1">
      <c r="A51" s="14" t="s">
        <v>66</v>
      </c>
      <c r="B51" s="15" t="s">
        <v>71</v>
      </c>
      <c r="C51" s="90">
        <v>463</v>
      </c>
      <c r="D51" s="7">
        <v>0</v>
      </c>
      <c r="E51" s="90">
        <v>463</v>
      </c>
      <c r="F51" s="89">
        <f aca="true" t="shared" si="11" ref="F51:F58">SUM(D51:E51)</f>
        <v>463</v>
      </c>
      <c r="G51" s="161">
        <f t="shared" si="8"/>
        <v>0</v>
      </c>
      <c r="H51" s="130">
        <f t="shared" si="6"/>
        <v>0</v>
      </c>
      <c r="I51" s="130"/>
      <c r="J51" s="1"/>
    </row>
    <row r="52" spans="1:10" ht="15">
      <c r="A52" s="14" t="s">
        <v>67</v>
      </c>
      <c r="B52" s="15" t="s">
        <v>72</v>
      </c>
      <c r="C52" s="65">
        <v>850</v>
      </c>
      <c r="D52" s="7">
        <v>567.92</v>
      </c>
      <c r="E52" s="65">
        <v>282.08</v>
      </c>
      <c r="F52" s="89">
        <f t="shared" si="11"/>
        <v>850</v>
      </c>
      <c r="G52" s="161">
        <f t="shared" si="8"/>
        <v>0</v>
      </c>
      <c r="H52" s="130">
        <f t="shared" si="6"/>
        <v>0.6681411764705882</v>
      </c>
      <c r="I52" s="130"/>
      <c r="J52" s="1" t="s">
        <v>273</v>
      </c>
    </row>
    <row r="53" spans="1:10" ht="15">
      <c r="A53" s="14" t="s">
        <v>68</v>
      </c>
      <c r="B53" s="15" t="s">
        <v>73</v>
      </c>
      <c r="C53" s="89">
        <v>105</v>
      </c>
      <c r="D53" s="7">
        <v>46.2</v>
      </c>
      <c r="E53" s="89">
        <v>63.8</v>
      </c>
      <c r="F53" s="89">
        <f t="shared" si="11"/>
        <v>110</v>
      </c>
      <c r="G53" s="161">
        <f t="shared" si="8"/>
        <v>-5</v>
      </c>
      <c r="H53" s="130">
        <f t="shared" si="6"/>
        <v>0.44</v>
      </c>
      <c r="I53" s="130"/>
      <c r="J53" s="1" t="s">
        <v>269</v>
      </c>
    </row>
    <row r="54" spans="1:10" ht="15">
      <c r="A54" s="14" t="s">
        <v>69</v>
      </c>
      <c r="B54" s="15" t="s">
        <v>74</v>
      </c>
      <c r="C54" s="65">
        <v>820</v>
      </c>
      <c r="D54" s="7">
        <v>393.68</v>
      </c>
      <c r="E54" s="65">
        <v>426.32</v>
      </c>
      <c r="F54" s="89">
        <f t="shared" si="11"/>
        <v>820</v>
      </c>
      <c r="G54" s="161">
        <f t="shared" si="8"/>
        <v>0</v>
      </c>
      <c r="H54" s="130">
        <f t="shared" si="6"/>
        <v>0.48009756097560974</v>
      </c>
      <c r="I54" s="130"/>
      <c r="J54" s="1"/>
    </row>
    <row r="55" spans="1:10" ht="15">
      <c r="A55" s="14" t="s">
        <v>70</v>
      </c>
      <c r="B55" s="15" t="s">
        <v>75</v>
      </c>
      <c r="C55" s="65">
        <v>100</v>
      </c>
      <c r="D55" s="7">
        <v>3.62</v>
      </c>
      <c r="E55" s="65">
        <v>96.38</v>
      </c>
      <c r="F55" s="89">
        <f t="shared" si="11"/>
        <v>100</v>
      </c>
      <c r="G55" s="161">
        <f t="shared" si="8"/>
        <v>0</v>
      </c>
      <c r="H55" s="130">
        <f t="shared" si="6"/>
        <v>0.0362</v>
      </c>
      <c r="I55" s="130"/>
      <c r="J55" s="1"/>
    </row>
    <row r="56" spans="1:10" s="13" customFormat="1" ht="15">
      <c r="A56" s="8">
        <v>365</v>
      </c>
      <c r="B56" s="9" t="s">
        <v>20</v>
      </c>
      <c r="C56" s="87">
        <v>2300</v>
      </c>
      <c r="D56" s="11">
        <v>0</v>
      </c>
      <c r="E56" s="87">
        <v>2800</v>
      </c>
      <c r="F56" s="89">
        <f t="shared" si="11"/>
        <v>2800</v>
      </c>
      <c r="G56" s="161">
        <f t="shared" si="8"/>
        <v>-500</v>
      </c>
      <c r="H56" s="130">
        <f t="shared" si="6"/>
        <v>0</v>
      </c>
      <c r="I56" s="130"/>
      <c r="J56" s="2" t="s">
        <v>266</v>
      </c>
    </row>
    <row r="57" spans="1:10" s="13" customFormat="1" ht="15">
      <c r="A57" s="8">
        <v>366</v>
      </c>
      <c r="B57" s="9" t="s">
        <v>182</v>
      </c>
      <c r="C57" s="29">
        <v>1600</v>
      </c>
      <c r="D57" s="11">
        <v>1098.43</v>
      </c>
      <c r="E57" s="29">
        <v>501.57</v>
      </c>
      <c r="F57" s="89">
        <f t="shared" si="11"/>
        <v>1600</v>
      </c>
      <c r="G57" s="161">
        <f t="shared" si="8"/>
        <v>0</v>
      </c>
      <c r="H57" s="130">
        <f t="shared" si="6"/>
        <v>0.6865187500000001</v>
      </c>
      <c r="I57" s="130"/>
      <c r="J57" s="2" t="s">
        <v>270</v>
      </c>
    </row>
    <row r="58" spans="1:10" s="13" customFormat="1" ht="15">
      <c r="A58" s="8">
        <v>367</v>
      </c>
      <c r="B58" s="9" t="s">
        <v>21</v>
      </c>
      <c r="C58" s="29">
        <v>4300</v>
      </c>
      <c r="D58" s="11">
        <v>1263.55</v>
      </c>
      <c r="E58" s="29">
        <v>3036.45</v>
      </c>
      <c r="F58" s="89">
        <f t="shared" si="11"/>
        <v>4300</v>
      </c>
      <c r="G58" s="161">
        <f t="shared" si="8"/>
        <v>0</v>
      </c>
      <c r="H58" s="130">
        <f t="shared" si="6"/>
        <v>0.2938488372093023</v>
      </c>
      <c r="I58" s="130"/>
      <c r="J58" s="2"/>
    </row>
    <row r="59" spans="1:10" s="13" customFormat="1" ht="15">
      <c r="A59" s="8">
        <v>368</v>
      </c>
      <c r="B59" s="9" t="s">
        <v>22</v>
      </c>
      <c r="C59" s="29">
        <f>SUM(C60:C63)</f>
        <v>1600</v>
      </c>
      <c r="D59" s="29">
        <f>SUM(D60:D63)</f>
        <v>80</v>
      </c>
      <c r="E59" s="29">
        <f>SUM(E60:E63)</f>
        <v>1520</v>
      </c>
      <c r="F59" s="29">
        <f>SUM(F60:F63)</f>
        <v>1600</v>
      </c>
      <c r="G59" s="161">
        <f t="shared" si="8"/>
        <v>0</v>
      </c>
      <c r="H59" s="130">
        <f t="shared" si="6"/>
        <v>0.05</v>
      </c>
      <c r="I59" s="130"/>
      <c r="J59" s="2"/>
    </row>
    <row r="60" spans="1:10" ht="15">
      <c r="A60" s="14" t="s">
        <v>76</v>
      </c>
      <c r="B60" s="15" t="s">
        <v>11</v>
      </c>
      <c r="C60" s="65">
        <v>1000</v>
      </c>
      <c r="D60" s="7">
        <v>50</v>
      </c>
      <c r="E60" s="65">
        <v>950</v>
      </c>
      <c r="F60" s="65">
        <v>1000</v>
      </c>
      <c r="G60" s="161">
        <f t="shared" si="8"/>
        <v>0</v>
      </c>
      <c r="H60" s="130">
        <f t="shared" si="6"/>
        <v>0.05</v>
      </c>
      <c r="I60" s="130"/>
      <c r="J60" s="1" t="s">
        <v>260</v>
      </c>
    </row>
    <row r="61" spans="1:10" ht="13.5" thickBot="1">
      <c r="A61" s="14" t="s">
        <v>77</v>
      </c>
      <c r="B61" s="15" t="s">
        <v>78</v>
      </c>
      <c r="C61" s="65">
        <v>100</v>
      </c>
      <c r="D61" s="7">
        <v>0</v>
      </c>
      <c r="E61" s="65">
        <v>100</v>
      </c>
      <c r="F61" s="65">
        <v>100</v>
      </c>
      <c r="G61" s="161">
        <f t="shared" si="8"/>
        <v>0</v>
      </c>
      <c r="H61" s="130">
        <f t="shared" si="6"/>
        <v>0</v>
      </c>
      <c r="I61" s="130"/>
      <c r="J61" s="1"/>
    </row>
    <row r="62" spans="1:10" ht="39" thickBot="1">
      <c r="A62" s="31" t="s">
        <v>42</v>
      </c>
      <c r="B62" s="32" t="s">
        <v>0</v>
      </c>
      <c r="C62" s="33" t="s">
        <v>256</v>
      </c>
      <c r="D62" s="58" t="s">
        <v>255</v>
      </c>
      <c r="E62" s="34" t="s">
        <v>264</v>
      </c>
      <c r="F62" s="58" t="s">
        <v>232</v>
      </c>
      <c r="G62" s="97" t="s">
        <v>231</v>
      </c>
      <c r="H62" s="131" t="s">
        <v>249</v>
      </c>
      <c r="I62" s="131"/>
      <c r="J62" s="59" t="s">
        <v>40</v>
      </c>
    </row>
    <row r="63" spans="1:10" ht="15">
      <c r="A63" s="14" t="s">
        <v>79</v>
      </c>
      <c r="B63" s="15" t="s">
        <v>80</v>
      </c>
      <c r="C63" s="65">
        <v>500</v>
      </c>
      <c r="D63" s="7">
        <v>30</v>
      </c>
      <c r="E63" s="65">
        <v>470</v>
      </c>
      <c r="F63" s="89">
        <f aca="true" t="shared" si="12" ref="F63:F75">SUM(D63:E63)</f>
        <v>500</v>
      </c>
      <c r="G63" s="161">
        <f aca="true" t="shared" si="13" ref="G63:G68">SUM(C63-F63)</f>
        <v>0</v>
      </c>
      <c r="H63" s="130">
        <f aca="true" t="shared" si="14" ref="H63:H76">(D63/C63)</f>
        <v>0.06</v>
      </c>
      <c r="I63" s="130"/>
      <c r="J63" s="1"/>
    </row>
    <row r="64" spans="1:10" s="13" customFormat="1" ht="15">
      <c r="A64" s="8">
        <v>369</v>
      </c>
      <c r="B64" s="9" t="s">
        <v>4</v>
      </c>
      <c r="C64" s="29">
        <v>0</v>
      </c>
      <c r="D64" s="11">
        <v>0</v>
      </c>
      <c r="E64" s="29">
        <v>0</v>
      </c>
      <c r="F64" s="29">
        <f t="shared" si="12"/>
        <v>0</v>
      </c>
      <c r="G64" s="161">
        <f t="shared" si="13"/>
        <v>0</v>
      </c>
      <c r="H64" s="130"/>
      <c r="I64" s="130"/>
      <c r="J64" s="2"/>
    </row>
    <row r="65" spans="1:10" s="13" customFormat="1" ht="15">
      <c r="A65" s="8">
        <v>374</v>
      </c>
      <c r="B65" s="9" t="s">
        <v>5</v>
      </c>
      <c r="C65" s="29">
        <f>SUM(C66:C67)</f>
        <v>2900</v>
      </c>
      <c r="D65" s="29">
        <f>SUM(D66:D67)</f>
        <v>900</v>
      </c>
      <c r="E65" s="29">
        <f>SUM(E66:E67)</f>
        <v>1900</v>
      </c>
      <c r="F65" s="29">
        <f>SUM(F66:F67)</f>
        <v>2800</v>
      </c>
      <c r="G65" s="161">
        <f t="shared" si="13"/>
        <v>100</v>
      </c>
      <c r="H65" s="130">
        <f t="shared" si="14"/>
        <v>0.3103448275862069</v>
      </c>
      <c r="I65" s="130"/>
      <c r="J65" s="2"/>
    </row>
    <row r="66" spans="1:10" s="13" customFormat="1" ht="15">
      <c r="A66" s="92" t="s">
        <v>81</v>
      </c>
      <c r="B66" s="93" t="s">
        <v>83</v>
      </c>
      <c r="C66" s="89">
        <v>1000</v>
      </c>
      <c r="D66" s="94">
        <v>0</v>
      </c>
      <c r="E66" s="89">
        <v>1000</v>
      </c>
      <c r="F66" s="89">
        <f t="shared" si="12"/>
        <v>1000</v>
      </c>
      <c r="G66" s="161">
        <f t="shared" si="13"/>
        <v>0</v>
      </c>
      <c r="H66" s="130">
        <f t="shared" si="14"/>
        <v>0</v>
      </c>
      <c r="I66" s="130"/>
      <c r="J66" s="2"/>
    </row>
    <row r="67" spans="1:10" s="13" customFormat="1" ht="15">
      <c r="A67" s="92" t="s">
        <v>82</v>
      </c>
      <c r="B67" s="93" t="s">
        <v>84</v>
      </c>
      <c r="C67" s="89">
        <v>1900</v>
      </c>
      <c r="D67" s="94">
        <v>900</v>
      </c>
      <c r="E67" s="89">
        <v>900</v>
      </c>
      <c r="F67" s="89">
        <f t="shared" si="12"/>
        <v>1800</v>
      </c>
      <c r="G67" s="161">
        <f t="shared" si="13"/>
        <v>100</v>
      </c>
      <c r="H67" s="130">
        <f t="shared" si="14"/>
        <v>0.47368421052631576</v>
      </c>
      <c r="I67" s="130"/>
      <c r="J67" s="2"/>
    </row>
    <row r="68" spans="1:10" s="13" customFormat="1" ht="15">
      <c r="A68" s="8">
        <v>378</v>
      </c>
      <c r="B68" s="9" t="s">
        <v>23</v>
      </c>
      <c r="C68" s="87">
        <v>1000</v>
      </c>
      <c r="D68" s="11">
        <v>2381.6</v>
      </c>
      <c r="E68" s="87">
        <v>0</v>
      </c>
      <c r="F68" s="29">
        <f t="shared" si="12"/>
        <v>2381.6</v>
      </c>
      <c r="G68" s="161">
        <f t="shared" si="13"/>
        <v>-1381.6</v>
      </c>
      <c r="H68" s="130">
        <f t="shared" si="14"/>
        <v>2.3815999999999997</v>
      </c>
      <c r="I68" s="130"/>
      <c r="J68" s="2"/>
    </row>
    <row r="69" spans="1:10" s="13" customFormat="1" ht="15">
      <c r="A69" s="8">
        <v>379</v>
      </c>
      <c r="B69" s="9" t="s">
        <v>6</v>
      </c>
      <c r="C69" s="29">
        <v>200</v>
      </c>
      <c r="D69" s="11">
        <v>58.31</v>
      </c>
      <c r="E69" s="29">
        <v>141.69</v>
      </c>
      <c r="F69" s="29">
        <f t="shared" si="12"/>
        <v>200</v>
      </c>
      <c r="G69" s="161">
        <f>SUM(C69-F69)</f>
        <v>0</v>
      </c>
      <c r="H69" s="130">
        <f t="shared" si="14"/>
        <v>0.29155000000000003</v>
      </c>
      <c r="I69" s="130"/>
      <c r="J69" s="2"/>
    </row>
    <row r="70" spans="1:10" s="13" customFormat="1" ht="15">
      <c r="A70" s="8">
        <v>380</v>
      </c>
      <c r="B70" s="9" t="s">
        <v>183</v>
      </c>
      <c r="C70" s="29">
        <v>2176</v>
      </c>
      <c r="D70" s="11">
        <v>0</v>
      </c>
      <c r="E70" s="29">
        <v>2176</v>
      </c>
      <c r="F70" s="29">
        <f t="shared" si="12"/>
        <v>2176</v>
      </c>
      <c r="G70" s="161">
        <f>SUM(C70-F70)</f>
        <v>0</v>
      </c>
      <c r="H70" s="130">
        <f t="shared" si="14"/>
        <v>0</v>
      </c>
      <c r="I70" s="130"/>
      <c r="J70" s="2"/>
    </row>
    <row r="71" spans="1:10" s="13" customFormat="1" ht="15">
      <c r="A71" s="8">
        <v>381</v>
      </c>
      <c r="B71" s="9" t="s">
        <v>210</v>
      </c>
      <c r="C71" s="29">
        <v>0</v>
      </c>
      <c r="D71" s="11">
        <v>0</v>
      </c>
      <c r="E71" s="29">
        <v>0</v>
      </c>
      <c r="F71" s="29">
        <f t="shared" si="12"/>
        <v>0</v>
      </c>
      <c r="G71" s="161">
        <f aca="true" t="shared" si="15" ref="G71:G72">SUM(C71-F71)</f>
        <v>0</v>
      </c>
      <c r="H71" s="130"/>
      <c r="I71" s="130"/>
      <c r="J71" s="2"/>
    </row>
    <row r="72" spans="1:10" s="13" customFormat="1" ht="15">
      <c r="A72" s="8">
        <v>382</v>
      </c>
      <c r="B72" s="9" t="s">
        <v>211</v>
      </c>
      <c r="C72" s="29">
        <v>1000</v>
      </c>
      <c r="D72" s="11">
        <v>0</v>
      </c>
      <c r="E72" s="29">
        <v>1000</v>
      </c>
      <c r="F72" s="29">
        <f t="shared" si="12"/>
        <v>1000</v>
      </c>
      <c r="G72" s="161">
        <f t="shared" si="15"/>
        <v>0</v>
      </c>
      <c r="H72" s="130">
        <f t="shared" si="14"/>
        <v>0</v>
      </c>
      <c r="I72" s="130"/>
      <c r="J72" s="2"/>
    </row>
    <row r="73" spans="1:10" s="13" customFormat="1" ht="15">
      <c r="A73" s="8">
        <v>385</v>
      </c>
      <c r="B73" s="9" t="s">
        <v>184</v>
      </c>
      <c r="C73" s="87">
        <v>46867</v>
      </c>
      <c r="D73" s="11">
        <v>306</v>
      </c>
      <c r="E73" s="87">
        <v>46561</v>
      </c>
      <c r="F73" s="29">
        <f t="shared" si="12"/>
        <v>46867</v>
      </c>
      <c r="G73" s="161">
        <f aca="true" t="shared" si="16" ref="G73:G75">SUM(C73-F73)</f>
        <v>0</v>
      </c>
      <c r="H73" s="130">
        <f t="shared" si="14"/>
        <v>0.006529114302174238</v>
      </c>
      <c r="I73" s="130"/>
      <c r="J73" s="17"/>
    </row>
    <row r="74" spans="1:10" s="13" customFormat="1" ht="15">
      <c r="A74" s="8">
        <v>389</v>
      </c>
      <c r="B74" s="9" t="s">
        <v>43</v>
      </c>
      <c r="C74" s="87">
        <v>2000</v>
      </c>
      <c r="D74" s="11">
        <v>627.32</v>
      </c>
      <c r="E74" s="87">
        <v>1372.68</v>
      </c>
      <c r="F74" s="29">
        <f t="shared" si="12"/>
        <v>2000</v>
      </c>
      <c r="G74" s="161">
        <f t="shared" si="16"/>
        <v>0</v>
      </c>
      <c r="H74" s="130">
        <f t="shared" si="14"/>
        <v>0.31366000000000005</v>
      </c>
      <c r="I74" s="130"/>
      <c r="J74" s="2"/>
    </row>
    <row r="75" spans="1:10" s="13" customFormat="1" ht="15">
      <c r="A75" s="8">
        <v>395</v>
      </c>
      <c r="B75" s="47" t="s">
        <v>48</v>
      </c>
      <c r="C75" s="87">
        <v>0</v>
      </c>
      <c r="D75" s="11">
        <v>0</v>
      </c>
      <c r="E75" s="87">
        <v>0</v>
      </c>
      <c r="F75" s="29">
        <f t="shared" si="12"/>
        <v>0</v>
      </c>
      <c r="G75" s="161">
        <f t="shared" si="16"/>
        <v>0</v>
      </c>
      <c r="H75" s="130"/>
      <c r="I75" s="130"/>
      <c r="J75" s="17"/>
    </row>
    <row r="76" spans="1:10" s="13" customFormat="1" ht="15">
      <c r="A76" s="8"/>
      <c r="B76" s="49" t="s">
        <v>8</v>
      </c>
      <c r="C76" s="45">
        <f>C29+C30+C31+C32+C33+C34+C35+C36+C39+C40+C41+C48+C49+C50+C56+C57+C58+C59+C64+C65+C68+C69+C70+C71+C72+C73+C74+C75</f>
        <v>207331</v>
      </c>
      <c r="D76" s="45">
        <f>D29+D30+D31+D32+D33+D34+D35+D36+D39+D40+D41+D48+D49+D50+D56+D57+D58+D59+D64+D65+D68+D69+D70+D71+D72+D73+D74+D75</f>
        <v>76806.62</v>
      </c>
      <c r="E76" s="45">
        <f>E29+E30+E31+E32+E33+E34+E35+E36+E39+E40+E41+E48+E49+E50+E56+E57+E58+E59+E64+E65+E68+E69+E70+E71+E72+E73+E74+E75</f>
        <v>131131.83000000002</v>
      </c>
      <c r="F76" s="45">
        <f>F29+F30+F31+F32+F33+F34+F35+F36+F39+F40+F41+F48+F49+F50+F56+F57+F58+F59+F64+F65+F68+F69+F70+F71+F72+F73+F74+F75</f>
        <v>207938.45</v>
      </c>
      <c r="G76" s="45">
        <f>SUM(G30+G31+G32+G33+G34+G35+G36+G37+G40+G41+G42+G49+G50+G51+G57+G58+G59+G60+G66+G67+G70+G71+G72+G73+G74)</f>
        <v>1496.1399999999996</v>
      </c>
      <c r="H76" s="130">
        <f t="shared" si="14"/>
        <v>0.3704541047889606</v>
      </c>
      <c r="I76" s="130"/>
      <c r="J76" s="17"/>
    </row>
    <row r="77" spans="1:10" s="13" customFormat="1" ht="15">
      <c r="A77" s="8"/>
      <c r="B77" s="9"/>
      <c r="C77" s="10"/>
      <c r="D77" s="11"/>
      <c r="E77" s="10"/>
      <c r="F77" s="10"/>
      <c r="G77" s="99"/>
      <c r="H77" s="99"/>
      <c r="I77" s="99"/>
      <c r="J77" s="17"/>
    </row>
    <row r="78" spans="1:10" s="13" customFormat="1" ht="15">
      <c r="A78" s="92"/>
      <c r="B78" s="46" t="s">
        <v>37</v>
      </c>
      <c r="C78" s="89"/>
      <c r="D78" s="94"/>
      <c r="E78" s="89"/>
      <c r="F78" s="89"/>
      <c r="G78" s="108"/>
      <c r="H78" s="105"/>
      <c r="I78" s="105"/>
      <c r="J78" s="2"/>
    </row>
    <row r="79" spans="1:10" s="13" customFormat="1" ht="15">
      <c r="A79" s="8">
        <v>954</v>
      </c>
      <c r="B79" s="9" t="s">
        <v>13</v>
      </c>
      <c r="C79" s="29">
        <v>630</v>
      </c>
      <c r="D79" s="11">
        <v>232.87</v>
      </c>
      <c r="E79" s="29">
        <v>0</v>
      </c>
      <c r="F79" s="29">
        <f aca="true" t="shared" si="17" ref="F79">SUM(D79:E79)</f>
        <v>232.87</v>
      </c>
      <c r="G79" s="161">
        <f aca="true" t="shared" si="18" ref="G79:G86">SUM(C79-F79)</f>
        <v>397.13</v>
      </c>
      <c r="H79" s="130">
        <f aca="true" t="shared" si="19" ref="H79:H87">(D79/C79)</f>
        <v>0.36963492063492065</v>
      </c>
      <c r="I79" s="130"/>
      <c r="J79" s="69"/>
    </row>
    <row r="80" spans="1:10" s="13" customFormat="1" ht="15">
      <c r="A80" s="8">
        <v>958</v>
      </c>
      <c r="B80" s="9" t="s">
        <v>14</v>
      </c>
      <c r="C80" s="29">
        <v>270</v>
      </c>
      <c r="D80" s="29">
        <f>SUM(D81:D82)</f>
        <v>159.84</v>
      </c>
      <c r="E80" s="29">
        <v>270</v>
      </c>
      <c r="F80" s="29">
        <v>270</v>
      </c>
      <c r="G80" s="161">
        <f t="shared" si="18"/>
        <v>0</v>
      </c>
      <c r="H80" s="130">
        <f t="shared" si="19"/>
        <v>0.592</v>
      </c>
      <c r="I80" s="130"/>
      <c r="J80" s="2"/>
    </row>
    <row r="81" spans="1:10" s="13" customFormat="1" ht="15">
      <c r="A81" s="92" t="s">
        <v>172</v>
      </c>
      <c r="B81" s="93" t="s">
        <v>174</v>
      </c>
      <c r="C81" s="89">
        <v>110</v>
      </c>
      <c r="D81" s="94">
        <v>101.56</v>
      </c>
      <c r="E81" s="89">
        <v>0</v>
      </c>
      <c r="F81" s="89">
        <f aca="true" t="shared" si="20" ref="F81:F86">SUM(D81:E81)</f>
        <v>101.56</v>
      </c>
      <c r="G81" s="161">
        <f t="shared" si="18"/>
        <v>8.439999999999998</v>
      </c>
      <c r="H81" s="130">
        <f t="shared" si="19"/>
        <v>0.9232727272727272</v>
      </c>
      <c r="I81" s="130"/>
      <c r="J81" s="2"/>
    </row>
    <row r="82" spans="1:10" s="13" customFormat="1" ht="15">
      <c r="A82" s="92" t="s">
        <v>173</v>
      </c>
      <c r="B82" s="93" t="s">
        <v>113</v>
      </c>
      <c r="C82" s="89">
        <v>160</v>
      </c>
      <c r="D82" s="94">
        <v>58.28</v>
      </c>
      <c r="E82" s="89">
        <v>60</v>
      </c>
      <c r="F82" s="89">
        <f t="shared" si="20"/>
        <v>118.28</v>
      </c>
      <c r="G82" s="161">
        <f t="shared" si="18"/>
        <v>41.72</v>
      </c>
      <c r="H82" s="130">
        <f t="shared" si="19"/>
        <v>0.36425</v>
      </c>
      <c r="I82" s="130"/>
      <c r="J82" s="2" t="s">
        <v>261</v>
      </c>
    </row>
    <row r="83" spans="1:10" s="13" customFormat="1" ht="15">
      <c r="A83" s="8">
        <v>962</v>
      </c>
      <c r="B83" s="9" t="s">
        <v>38</v>
      </c>
      <c r="C83" s="29">
        <v>66</v>
      </c>
      <c r="D83" s="11">
        <v>0</v>
      </c>
      <c r="E83" s="29">
        <v>66</v>
      </c>
      <c r="F83" s="29">
        <f t="shared" si="20"/>
        <v>66</v>
      </c>
      <c r="G83" s="161">
        <f t="shared" si="18"/>
        <v>0</v>
      </c>
      <c r="H83" s="130">
        <f t="shared" si="19"/>
        <v>0</v>
      </c>
      <c r="I83" s="130"/>
      <c r="J83" s="2"/>
    </row>
    <row r="84" spans="1:10" s="13" customFormat="1" ht="15">
      <c r="A84" s="8">
        <v>963</v>
      </c>
      <c r="B84" s="9" t="s">
        <v>6</v>
      </c>
      <c r="C84" s="29">
        <v>0</v>
      </c>
      <c r="D84" s="11">
        <v>0</v>
      </c>
      <c r="E84" s="29">
        <v>0</v>
      </c>
      <c r="F84" s="29">
        <f t="shared" si="20"/>
        <v>0</v>
      </c>
      <c r="G84" s="161">
        <f t="shared" si="18"/>
        <v>0</v>
      </c>
      <c r="H84" s="130"/>
      <c r="I84" s="130"/>
      <c r="J84" s="2"/>
    </row>
    <row r="85" spans="1:10" s="13" customFormat="1" ht="15">
      <c r="A85" s="8">
        <v>980</v>
      </c>
      <c r="B85" s="9" t="s">
        <v>187</v>
      </c>
      <c r="C85" s="29">
        <v>970</v>
      </c>
      <c r="D85" s="11">
        <v>0</v>
      </c>
      <c r="E85" s="29">
        <v>970</v>
      </c>
      <c r="F85" s="29">
        <f t="shared" si="20"/>
        <v>970</v>
      </c>
      <c r="G85" s="161">
        <f t="shared" si="18"/>
        <v>0</v>
      </c>
      <c r="H85" s="130">
        <f t="shared" si="19"/>
        <v>0</v>
      </c>
      <c r="I85" s="130"/>
      <c r="J85" s="2"/>
    </row>
    <row r="86" spans="1:10" s="13" customFormat="1" ht="15">
      <c r="A86" s="8">
        <v>995</v>
      </c>
      <c r="B86" s="47" t="s">
        <v>48</v>
      </c>
      <c r="C86" s="87">
        <v>0</v>
      </c>
      <c r="D86" s="11">
        <v>0</v>
      </c>
      <c r="E86" s="87">
        <v>0</v>
      </c>
      <c r="F86" s="29">
        <f t="shared" si="20"/>
        <v>0</v>
      </c>
      <c r="G86" s="161">
        <f t="shared" si="18"/>
        <v>0</v>
      </c>
      <c r="H86" s="130"/>
      <c r="I86" s="130"/>
      <c r="J86" s="2"/>
    </row>
    <row r="87" spans="1:10" s="109" customFormat="1" ht="15">
      <c r="A87" s="8"/>
      <c r="B87" s="47" t="s">
        <v>8</v>
      </c>
      <c r="C87" s="45">
        <f>SUM(C79+C80+C83+C84+C85+C86)</f>
        <v>1936</v>
      </c>
      <c r="D87" s="45">
        <f>SUM(D79+D80+D83+D84+D85+D86)</f>
        <v>392.71000000000004</v>
      </c>
      <c r="E87" s="45">
        <f>SUM(E79+E80+E83+E84+E85+E86)</f>
        <v>1306</v>
      </c>
      <c r="F87" s="45">
        <f>SUM(F79+F80+F83+F84+F85+F86)</f>
        <v>1538.87</v>
      </c>
      <c r="G87" s="162">
        <f aca="true" t="shared" si="21" ref="G87">SUM(G79+G80+G83+G84+G85+G86)</f>
        <v>397.13</v>
      </c>
      <c r="H87" s="132">
        <f t="shared" si="19"/>
        <v>0.2028460743801653</v>
      </c>
      <c r="I87" s="130"/>
      <c r="J87" s="70"/>
    </row>
    <row r="88" spans="1:10" s="109" customFormat="1" ht="15">
      <c r="A88" s="8"/>
      <c r="B88" s="9"/>
      <c r="C88" s="10"/>
      <c r="D88" s="11"/>
      <c r="E88" s="10"/>
      <c r="F88" s="10"/>
      <c r="G88" s="96"/>
      <c r="H88" s="99"/>
      <c r="I88" s="99"/>
      <c r="J88" s="70"/>
    </row>
    <row r="89" spans="1:10" s="109" customFormat="1" ht="15">
      <c r="A89" s="8"/>
      <c r="B89" s="46" t="s">
        <v>190</v>
      </c>
      <c r="C89" s="29"/>
      <c r="D89" s="11"/>
      <c r="E89" s="29"/>
      <c r="F89" s="29"/>
      <c r="G89" s="96"/>
      <c r="H89" s="102"/>
      <c r="I89" s="102"/>
      <c r="J89" s="70"/>
    </row>
    <row r="90" spans="1:10" s="109" customFormat="1" ht="15">
      <c r="A90" s="8">
        <v>1100</v>
      </c>
      <c r="B90" s="47" t="s">
        <v>190</v>
      </c>
      <c r="C90" s="29">
        <v>150</v>
      </c>
      <c r="D90" s="11">
        <v>642</v>
      </c>
      <c r="E90" s="29">
        <v>6</v>
      </c>
      <c r="F90" s="29">
        <f aca="true" t="shared" si="22" ref="F90">SUM(D90:E90)</f>
        <v>648</v>
      </c>
      <c r="G90" s="161">
        <f aca="true" t="shared" si="23" ref="G90">SUM(C90-F90)</f>
        <v>-498</v>
      </c>
      <c r="H90" s="130">
        <f aca="true" t="shared" si="24" ref="H90:H93">(D90/C90)</f>
        <v>4.28</v>
      </c>
      <c r="I90" s="130"/>
      <c r="J90" s="2" t="s">
        <v>262</v>
      </c>
    </row>
    <row r="91" spans="1:10" s="109" customFormat="1" ht="15">
      <c r="A91" s="8"/>
      <c r="B91" s="47" t="s">
        <v>8</v>
      </c>
      <c r="C91" s="45">
        <f>SUM(C90)</f>
        <v>150</v>
      </c>
      <c r="D91" s="45">
        <f>SUM(D90)</f>
        <v>642</v>
      </c>
      <c r="E91" s="45">
        <f>SUM(E90)</f>
        <v>6</v>
      </c>
      <c r="F91" s="45">
        <f>SUM(F90)</f>
        <v>648</v>
      </c>
      <c r="G91" s="162">
        <f>SUM(C91-F91)</f>
        <v>-498</v>
      </c>
      <c r="H91" s="132">
        <f t="shared" si="24"/>
        <v>4.28</v>
      </c>
      <c r="I91" s="130"/>
      <c r="J91" s="70"/>
    </row>
    <row r="92" spans="1:10" s="109" customFormat="1" ht="15">
      <c r="A92" s="110"/>
      <c r="B92" s="111"/>
      <c r="C92" s="29"/>
      <c r="D92" s="11"/>
      <c r="E92" s="29"/>
      <c r="F92" s="29"/>
      <c r="G92" s="163"/>
      <c r="H92" s="130"/>
      <c r="I92" s="130"/>
      <c r="J92" s="70"/>
    </row>
    <row r="93" spans="1:10" s="13" customFormat="1" ht="13.5" thickBot="1">
      <c r="A93" s="187" t="s">
        <v>203</v>
      </c>
      <c r="B93" s="188"/>
      <c r="C93" s="112">
        <f>SUM(C76+C87+C91)</f>
        <v>209417</v>
      </c>
      <c r="D93" s="112">
        <f>SUM(D76+D87+D91)</f>
        <v>77841.33</v>
      </c>
      <c r="E93" s="112">
        <f>SUM(E76+E87+E91)</f>
        <v>132443.83000000002</v>
      </c>
      <c r="F93" s="112">
        <f>SUM(F76+F87+F91)</f>
        <v>210125.32</v>
      </c>
      <c r="G93" s="164">
        <f>SUM(C93-F93)</f>
        <v>-708.320000000007</v>
      </c>
      <c r="H93" s="140">
        <f t="shared" si="24"/>
        <v>0.3717049236690431</v>
      </c>
      <c r="I93" s="171"/>
      <c r="J93" s="113"/>
    </row>
    <row r="94" s="35" customFormat="1" ht="15"/>
    <row r="97" ht="11.25" customHeight="1"/>
    <row r="107" s="24" customFormat="1" ht="15"/>
    <row r="116" s="24" customFormat="1" ht="15"/>
    <row r="117" s="75" customFormat="1" ht="15"/>
    <row r="118" s="114" customFormat="1" ht="15"/>
    <row r="119" s="13" customFormat="1" ht="15"/>
    <row r="120" s="93" customFormat="1" ht="15"/>
    <row r="121" s="13" customFormat="1" ht="15"/>
    <row r="122" s="109" customFormat="1" ht="15"/>
    <row r="123" s="109" customFormat="1" ht="15"/>
    <row r="124" s="13" customFormat="1" ht="15"/>
    <row r="125" s="44" customFormat="1" ht="15"/>
    <row r="126" s="24" customFormat="1" ht="15"/>
    <row r="153" ht="12.75" customHeight="1"/>
    <row r="161" s="13" customFormat="1" ht="15"/>
    <row r="164" ht="12.75" customHeight="1"/>
    <row r="192" s="109" customFormat="1" ht="11.25" customHeight="1"/>
    <row r="193" s="13" customFormat="1" ht="15"/>
    <row r="194" ht="11.25" customHeight="1"/>
    <row r="195" ht="12" customHeight="1"/>
    <row r="196" ht="12.75" customHeight="1"/>
    <row r="197" ht="12.75" customHeight="1"/>
    <row r="198" ht="12.75" customHeight="1"/>
    <row r="206" s="13" customFormat="1" ht="15"/>
    <row r="207" s="13" customFormat="1" ht="15"/>
    <row r="208" s="109" customFormat="1" ht="15"/>
    <row r="209" s="13" customFormat="1" ht="15"/>
    <row r="210" s="13" customFormat="1" ht="15"/>
    <row r="211" s="114" customFormat="1" ht="15"/>
    <row r="212" s="13" customFormat="1" ht="15"/>
    <row r="213" s="109" customFormat="1" ht="15"/>
    <row r="214" s="13" customFormat="1" ht="15"/>
    <row r="215" s="13" customFormat="1" ht="15"/>
    <row r="216" s="13" customFormat="1" ht="15"/>
    <row r="217" s="13" customFormat="1" ht="15"/>
    <row r="218" s="13" customFormat="1" ht="15"/>
    <row r="219" s="13" customFormat="1" ht="15"/>
    <row r="220" s="13" customFormat="1" ht="15"/>
  </sheetData>
  <mergeCells count="3">
    <mergeCell ref="A4:B4"/>
    <mergeCell ref="A93:B93"/>
    <mergeCell ref="A24:B24"/>
  </mergeCells>
  <printOptions gridLines="1"/>
  <pageMargins left="0.1968503937007874" right="0.11811023622047245" top="1.3385826771653544" bottom="0.5511811023622047" header="0.31496062992125984" footer="0.31496062992125984"/>
  <pageSetup horizontalDpi="600" verticalDpi="600" orientation="landscape" paperSize="9" r:id="rId1"/>
  <headerFooter>
    <oddHeader>&amp;C&amp;"Arial,Bold"&amp;12Ilminster Town Council
Financial Monitoring 2015/2016
01/04/15 - 30/09/15
</oddHeader>
  </headerFooter>
  <rowBreaks count="4" manualBreakCount="4">
    <brk id="26" max="16383" man="1"/>
    <brk id="93" max="16383" man="1"/>
    <brk id="123" max="16383" man="1"/>
    <brk id="1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Layout" workbookViewId="0" topLeftCell="A1">
      <selection activeCell="G8" sqref="G8"/>
    </sheetView>
  </sheetViews>
  <sheetFormatPr defaultColWidth="9.140625" defaultRowHeight="15"/>
  <cols>
    <col min="2" max="2" width="27.140625" style="0" customWidth="1"/>
    <col min="3" max="7" width="12.7109375" style="0" customWidth="1"/>
    <col min="8" max="8" width="8.28125" style="0" customWidth="1"/>
  </cols>
  <sheetData>
    <row r="1" spans="1:8" ht="48.75" thickBot="1">
      <c r="A1" s="31" t="s">
        <v>42</v>
      </c>
      <c r="B1" s="32" t="s">
        <v>0</v>
      </c>
      <c r="C1" s="33" t="s">
        <v>226</v>
      </c>
      <c r="D1" s="58" t="s">
        <v>227</v>
      </c>
      <c r="E1" s="34" t="s">
        <v>263</v>
      </c>
      <c r="F1" s="58" t="s">
        <v>230</v>
      </c>
      <c r="G1" s="58" t="s">
        <v>231</v>
      </c>
      <c r="H1" s="131" t="s">
        <v>249</v>
      </c>
    </row>
    <row r="2" spans="1:8" ht="16.5" thickBot="1">
      <c r="A2" s="179" t="s">
        <v>46</v>
      </c>
      <c r="B2" s="180"/>
      <c r="C2" s="181"/>
      <c r="D2" s="182"/>
      <c r="E2" s="183"/>
      <c r="F2" s="182"/>
      <c r="G2" s="182"/>
      <c r="H2" s="184"/>
    </row>
    <row r="3" spans="1:8" ht="15">
      <c r="A3" s="19">
        <v>412</v>
      </c>
      <c r="B3" s="20" t="s">
        <v>9</v>
      </c>
      <c r="C3" s="29">
        <f>SUM(C4:C5)</f>
        <v>0</v>
      </c>
      <c r="D3" s="16">
        <f>SUM(D4:D5)</f>
        <v>0</v>
      </c>
      <c r="E3" s="29">
        <f>SUM(E4:E5)</f>
        <v>0</v>
      </c>
      <c r="F3" s="29">
        <f>SUM(F4:F5)</f>
        <v>0</v>
      </c>
      <c r="G3" s="165">
        <f aca="true" t="shared" si="0" ref="G3:G12">SUM(C3-F3)</f>
        <v>0</v>
      </c>
      <c r="H3" s="80"/>
    </row>
    <row r="4" spans="1:8" ht="15">
      <c r="A4" s="14" t="s">
        <v>85</v>
      </c>
      <c r="B4" s="15" t="s">
        <v>86</v>
      </c>
      <c r="C4" s="89">
        <v>0</v>
      </c>
      <c r="D4" s="7">
        <v>0</v>
      </c>
      <c r="E4" s="89">
        <v>0</v>
      </c>
      <c r="F4" s="89">
        <f>SUM(D4:E4)</f>
        <v>0</v>
      </c>
      <c r="G4" s="165">
        <f t="shared" si="0"/>
        <v>0</v>
      </c>
      <c r="H4" s="102"/>
    </row>
    <row r="5" spans="1:8" ht="15">
      <c r="A5" s="14" t="s">
        <v>87</v>
      </c>
      <c r="B5" s="15" t="s">
        <v>65</v>
      </c>
      <c r="C5" s="65">
        <v>0</v>
      </c>
      <c r="D5" s="7">
        <v>0</v>
      </c>
      <c r="E5" s="65">
        <v>0</v>
      </c>
      <c r="F5" s="89">
        <f>SUM(D5:E5)</f>
        <v>0</v>
      </c>
      <c r="G5" s="165">
        <f t="shared" si="0"/>
        <v>0</v>
      </c>
      <c r="H5" s="103"/>
    </row>
    <row r="6" spans="1:8" ht="15">
      <c r="A6" s="19">
        <v>421</v>
      </c>
      <c r="B6" s="9" t="s">
        <v>3</v>
      </c>
      <c r="C6" s="25">
        <v>0</v>
      </c>
      <c r="D6" s="21">
        <v>0</v>
      </c>
      <c r="E6" s="25">
        <v>0</v>
      </c>
      <c r="F6" s="25">
        <v>0</v>
      </c>
      <c r="G6" s="165">
        <f t="shared" si="0"/>
        <v>0</v>
      </c>
      <c r="H6" s="103"/>
    </row>
    <row r="7" spans="1:8" ht="15">
      <c r="A7" s="19">
        <v>430</v>
      </c>
      <c r="B7" s="20" t="s">
        <v>24</v>
      </c>
      <c r="C7" s="91">
        <f>SUM(C8:C14)</f>
        <v>6302</v>
      </c>
      <c r="D7" s="16">
        <f>SUM(D8:D14)</f>
        <v>2598.74</v>
      </c>
      <c r="E7" s="91">
        <f>SUM(E8:E14)</f>
        <v>2738.8</v>
      </c>
      <c r="F7" s="91">
        <f>SUM(F8:F14)</f>
        <v>5337.54</v>
      </c>
      <c r="G7" s="165">
        <f>SUM(C7-F7)</f>
        <v>964.46</v>
      </c>
      <c r="H7" s="130">
        <f aca="true" t="shared" si="1" ref="H7:H12">(D7/C7)</f>
        <v>0.4123675023801967</v>
      </c>
    </row>
    <row r="8" spans="1:8" ht="15" customHeight="1">
      <c r="A8" s="14" t="s">
        <v>88</v>
      </c>
      <c r="B8" s="15" t="s">
        <v>89</v>
      </c>
      <c r="C8" s="65">
        <v>1516</v>
      </c>
      <c r="D8" s="7">
        <v>573.17</v>
      </c>
      <c r="E8" s="65">
        <v>140</v>
      </c>
      <c r="F8" s="89">
        <f aca="true" t="shared" si="2" ref="F8:F16">SUM(D8:E8)</f>
        <v>713.17</v>
      </c>
      <c r="G8" s="165">
        <f t="shared" si="0"/>
        <v>802.83</v>
      </c>
      <c r="H8" s="130">
        <f t="shared" si="1"/>
        <v>0.3780804749340369</v>
      </c>
    </row>
    <row r="9" spans="1:8" ht="15" customHeight="1">
      <c r="A9" s="14" t="s">
        <v>90</v>
      </c>
      <c r="B9" s="15" t="s">
        <v>91</v>
      </c>
      <c r="C9" s="65">
        <v>1750</v>
      </c>
      <c r="D9" s="7">
        <v>1200.12</v>
      </c>
      <c r="E9" s="65">
        <v>942.83</v>
      </c>
      <c r="F9" s="89">
        <f t="shared" si="2"/>
        <v>2142.95</v>
      </c>
      <c r="G9" s="165">
        <f t="shared" si="0"/>
        <v>-392.9499999999998</v>
      </c>
      <c r="H9" s="130">
        <f t="shared" si="1"/>
        <v>0.685782857142857</v>
      </c>
    </row>
    <row r="10" spans="1:8" ht="15">
      <c r="A10" s="14" t="s">
        <v>92</v>
      </c>
      <c r="B10" s="15" t="s">
        <v>93</v>
      </c>
      <c r="C10" s="65">
        <v>1651</v>
      </c>
      <c r="D10" s="7">
        <v>0</v>
      </c>
      <c r="E10" s="65">
        <v>1155.97</v>
      </c>
      <c r="F10" s="89">
        <f t="shared" si="2"/>
        <v>1155.97</v>
      </c>
      <c r="G10" s="165">
        <f t="shared" si="0"/>
        <v>495.03</v>
      </c>
      <c r="H10" s="130">
        <f t="shared" si="1"/>
        <v>0</v>
      </c>
    </row>
    <row r="11" spans="1:8" ht="15">
      <c r="A11" s="14" t="s">
        <v>94</v>
      </c>
      <c r="B11" s="15" t="s">
        <v>95</v>
      </c>
      <c r="C11" s="65">
        <v>175</v>
      </c>
      <c r="D11" s="7">
        <v>175.45</v>
      </c>
      <c r="E11" s="65">
        <v>0</v>
      </c>
      <c r="F11" s="89">
        <f t="shared" si="2"/>
        <v>175.45</v>
      </c>
      <c r="G11" s="165">
        <f t="shared" si="0"/>
        <v>-0.44999999999998863</v>
      </c>
      <c r="H11" s="130">
        <f t="shared" si="1"/>
        <v>1.0025714285714284</v>
      </c>
    </row>
    <row r="12" spans="1:8" ht="15">
      <c r="A12" s="14" t="s">
        <v>96</v>
      </c>
      <c r="B12" s="15" t="s">
        <v>97</v>
      </c>
      <c r="C12" s="90">
        <v>1210</v>
      </c>
      <c r="D12" s="7">
        <v>650</v>
      </c>
      <c r="E12" s="90">
        <v>500</v>
      </c>
      <c r="F12" s="89">
        <f t="shared" si="2"/>
        <v>1150</v>
      </c>
      <c r="G12" s="165">
        <f t="shared" si="0"/>
        <v>60</v>
      </c>
      <c r="H12" s="130">
        <f t="shared" si="1"/>
        <v>0.5371900826446281</v>
      </c>
    </row>
    <row r="13" spans="1:8" ht="15">
      <c r="A13" s="14" t="s">
        <v>208</v>
      </c>
      <c r="B13" s="15" t="s">
        <v>209</v>
      </c>
      <c r="C13" s="90">
        <v>0</v>
      </c>
      <c r="D13" s="7">
        <v>0</v>
      </c>
      <c r="E13" s="90">
        <v>0</v>
      </c>
      <c r="F13" s="89">
        <f t="shared" si="2"/>
        <v>0</v>
      </c>
      <c r="G13" s="126">
        <f aca="true" t="shared" si="3" ref="G13:G14">SUM(C13-D13)</f>
        <v>0</v>
      </c>
      <c r="H13" s="81"/>
    </row>
    <row r="14" spans="1:8" ht="15">
      <c r="A14" s="14" t="s">
        <v>221</v>
      </c>
      <c r="B14" s="15" t="s">
        <v>222</v>
      </c>
      <c r="C14" s="90">
        <v>0</v>
      </c>
      <c r="D14" s="7">
        <v>0</v>
      </c>
      <c r="E14" s="90">
        <v>0</v>
      </c>
      <c r="F14" s="89">
        <f t="shared" si="2"/>
        <v>0</v>
      </c>
      <c r="G14" s="126">
        <f t="shared" si="3"/>
        <v>0</v>
      </c>
      <c r="H14" s="81"/>
    </row>
    <row r="15" spans="1:8" ht="15">
      <c r="A15" s="19">
        <v>431</v>
      </c>
      <c r="B15" s="20" t="s">
        <v>25</v>
      </c>
      <c r="C15" s="25">
        <v>0</v>
      </c>
      <c r="D15" s="21">
        <v>903.26</v>
      </c>
      <c r="E15" s="25">
        <v>0</v>
      </c>
      <c r="F15" s="29">
        <f t="shared" si="2"/>
        <v>903.26</v>
      </c>
      <c r="G15" s="165">
        <f aca="true" t="shared" si="4" ref="G15:G16">SUM(C15-F15)</f>
        <v>-903.26</v>
      </c>
      <c r="H15" s="103"/>
    </row>
    <row r="16" spans="1:8" ht="15">
      <c r="A16" s="19">
        <v>432</v>
      </c>
      <c r="B16" s="20" t="s">
        <v>6</v>
      </c>
      <c r="C16" s="25">
        <v>150</v>
      </c>
      <c r="D16" s="21">
        <v>0</v>
      </c>
      <c r="E16" s="25">
        <v>150</v>
      </c>
      <c r="F16" s="29">
        <f t="shared" si="2"/>
        <v>150</v>
      </c>
      <c r="G16" s="165">
        <f t="shared" si="4"/>
        <v>0</v>
      </c>
      <c r="H16" s="130">
        <f aca="true" t="shared" si="5" ref="H16:H17">(D16/C16)</f>
        <v>0</v>
      </c>
    </row>
    <row r="17" spans="1:8" ht="15">
      <c r="A17" s="14"/>
      <c r="B17" s="15"/>
      <c r="C17" s="22">
        <f>SUM(C3+C6+C7+C16)</f>
        <v>6452</v>
      </c>
      <c r="D17" s="22">
        <f>D3+D6+D7+D15+D16</f>
        <v>3502</v>
      </c>
      <c r="E17" s="22">
        <f>SUM(E3+E6+E7+E16)</f>
        <v>2888.8</v>
      </c>
      <c r="F17" s="22">
        <f>SUM(F3+F6+F7+F16)</f>
        <v>5487.54</v>
      </c>
      <c r="G17" s="167">
        <f>SUM(G3+G6+G7+G16)</f>
        <v>964.46</v>
      </c>
      <c r="H17" s="132">
        <f t="shared" si="5"/>
        <v>0.5427774333539988</v>
      </c>
    </row>
    <row r="18" spans="1:8" ht="15">
      <c r="A18" s="14"/>
      <c r="B18" s="18" t="s">
        <v>31</v>
      </c>
      <c r="C18" s="65"/>
      <c r="D18" s="21"/>
      <c r="E18" s="65"/>
      <c r="F18" s="65"/>
      <c r="G18" s="128"/>
      <c r="H18" s="79"/>
    </row>
    <row r="19" spans="1:8" ht="15">
      <c r="A19" s="19">
        <v>626</v>
      </c>
      <c r="B19" s="20" t="s">
        <v>32</v>
      </c>
      <c r="C19" s="25">
        <v>5500</v>
      </c>
      <c r="D19" s="21">
        <v>3146</v>
      </c>
      <c r="E19" s="25">
        <v>2354</v>
      </c>
      <c r="F19" s="29">
        <f aca="true" t="shared" si="6" ref="F19:F20">SUM(D19:E19)</f>
        <v>5500</v>
      </c>
      <c r="G19" s="165">
        <f aca="true" t="shared" si="7" ref="G19:G20">SUM(C19-F19)</f>
        <v>0</v>
      </c>
      <c r="H19" s="130">
        <f aca="true" t="shared" si="8" ref="H19:H21">(D19/C19)</f>
        <v>0.572</v>
      </c>
    </row>
    <row r="20" spans="1:8" ht="15">
      <c r="A20" s="19">
        <v>630</v>
      </c>
      <c r="B20" s="20" t="s">
        <v>33</v>
      </c>
      <c r="C20" s="25">
        <v>6000</v>
      </c>
      <c r="D20" s="21">
        <v>3000</v>
      </c>
      <c r="E20" s="25">
        <v>3000</v>
      </c>
      <c r="F20" s="29">
        <f t="shared" si="6"/>
        <v>6000</v>
      </c>
      <c r="G20" s="165">
        <f t="shared" si="7"/>
        <v>0</v>
      </c>
      <c r="H20" s="130">
        <f t="shared" si="8"/>
        <v>0.5</v>
      </c>
    </row>
    <row r="21" spans="1:8" ht="15">
      <c r="A21" s="14"/>
      <c r="B21" s="20" t="s">
        <v>8</v>
      </c>
      <c r="C21" s="23">
        <f>SUM(C19:C20)</f>
        <v>11500</v>
      </c>
      <c r="D21" s="22">
        <f>SUM(D19:D20)</f>
        <v>6146</v>
      </c>
      <c r="E21" s="139">
        <f>SUM(E19:E20)</f>
        <v>5354</v>
      </c>
      <c r="F21" s="22">
        <f>SUM(F19:F20)</f>
        <v>11500</v>
      </c>
      <c r="G21" s="173">
        <f>SUM(G19:G20)</f>
        <v>0</v>
      </c>
      <c r="H21" s="132">
        <f t="shared" si="8"/>
        <v>0.5344347826086957</v>
      </c>
    </row>
    <row r="22" spans="1:8" ht="15">
      <c r="A22" s="14"/>
      <c r="B22" s="20"/>
      <c r="C22" s="25"/>
      <c r="D22" s="21"/>
      <c r="E22" s="25"/>
      <c r="F22" s="25"/>
      <c r="G22" s="25"/>
      <c r="H22" s="83"/>
    </row>
    <row r="23" spans="1:8" ht="15">
      <c r="A23" s="14"/>
      <c r="B23" s="18" t="s">
        <v>200</v>
      </c>
      <c r="C23" s="65"/>
      <c r="D23" s="21"/>
      <c r="E23" s="65"/>
      <c r="F23" s="128"/>
      <c r="G23" s="128"/>
      <c r="H23" s="82"/>
    </row>
    <row r="24" spans="1:8" ht="15">
      <c r="A24" s="19">
        <v>2000</v>
      </c>
      <c r="B24" s="20" t="s">
        <v>217</v>
      </c>
      <c r="C24" s="25">
        <v>2500</v>
      </c>
      <c r="D24" s="21">
        <f>SUM(D25:D26)</f>
        <v>1731.46</v>
      </c>
      <c r="E24" s="25">
        <v>2500</v>
      </c>
      <c r="F24" s="172">
        <v>2500</v>
      </c>
      <c r="G24" s="174">
        <f aca="true" t="shared" si="9" ref="G24:G29">SUM(G22:G23)</f>
        <v>0</v>
      </c>
      <c r="H24" s="175">
        <f aca="true" t="shared" si="10" ref="H24:H25">(D24/C24)</f>
        <v>0.692584</v>
      </c>
    </row>
    <row r="25" spans="1:8" ht="15">
      <c r="A25" s="14" t="s">
        <v>218</v>
      </c>
      <c r="B25" s="15" t="s">
        <v>212</v>
      </c>
      <c r="C25" s="65">
        <v>2500</v>
      </c>
      <c r="D25" s="7">
        <v>1731.46</v>
      </c>
      <c r="E25" s="65">
        <v>768.54</v>
      </c>
      <c r="F25" s="29">
        <f aca="true" t="shared" si="11" ref="F25:F27">SUM(D25:E25)</f>
        <v>2500</v>
      </c>
      <c r="G25" s="165">
        <f aca="true" t="shared" si="12" ref="G25:G28">SUM(C25-F25)</f>
        <v>0</v>
      </c>
      <c r="H25" s="130">
        <f t="shared" si="10"/>
        <v>0.692584</v>
      </c>
    </row>
    <row r="26" spans="1:8" ht="15">
      <c r="A26" s="92" t="s">
        <v>219</v>
      </c>
      <c r="B26" s="93" t="s">
        <v>216</v>
      </c>
      <c r="C26" s="89">
        <v>0</v>
      </c>
      <c r="D26" s="94">
        <v>0</v>
      </c>
      <c r="E26" s="89">
        <v>0</v>
      </c>
      <c r="F26" s="29">
        <f t="shared" si="11"/>
        <v>0</v>
      </c>
      <c r="G26" s="165">
        <f t="shared" si="12"/>
        <v>0</v>
      </c>
      <c r="H26" s="105"/>
    </row>
    <row r="27" spans="1:8" ht="15">
      <c r="A27" s="8">
        <v>216</v>
      </c>
      <c r="B27" s="9" t="s">
        <v>248</v>
      </c>
      <c r="C27" s="29">
        <v>0</v>
      </c>
      <c r="D27" s="11">
        <v>0.49</v>
      </c>
      <c r="E27" s="29">
        <v>0.7</v>
      </c>
      <c r="F27" s="29">
        <f t="shared" si="11"/>
        <v>1.19</v>
      </c>
      <c r="G27" s="159">
        <f t="shared" si="12"/>
        <v>-1.19</v>
      </c>
      <c r="H27" s="135"/>
    </row>
    <row r="28" spans="1:8" ht="14.25" customHeight="1" thickBot="1">
      <c r="A28" s="115"/>
      <c r="B28" s="53" t="s">
        <v>8</v>
      </c>
      <c r="C28" s="116">
        <f>SUM(C24+C27)</f>
        <v>2500</v>
      </c>
      <c r="D28" s="116">
        <f>D24+D27</f>
        <v>1731.95</v>
      </c>
      <c r="E28" s="116">
        <f>SUM(E24+E27)</f>
        <v>2500.7</v>
      </c>
      <c r="F28" s="116">
        <f>SUM(F24+F27)</f>
        <v>2501.19</v>
      </c>
      <c r="G28" s="160">
        <f t="shared" si="12"/>
        <v>-1.1900000000000546</v>
      </c>
      <c r="H28" s="141">
        <f aca="true" t="shared" si="13" ref="H28">(D28/C28)</f>
        <v>0.6927800000000001</v>
      </c>
    </row>
    <row r="29" spans="1:8" ht="1.5" customHeight="1" thickTop="1">
      <c r="A29" s="117"/>
      <c r="B29" s="118"/>
      <c r="C29" s="29"/>
      <c r="D29" s="11"/>
      <c r="E29" s="29"/>
      <c r="F29" s="29"/>
      <c r="G29" s="166">
        <f t="shared" si="9"/>
        <v>-2.3800000000000545</v>
      </c>
      <c r="H29" s="102"/>
    </row>
    <row r="30" spans="1:8" ht="15.75" thickBot="1">
      <c r="A30" s="193" t="s">
        <v>206</v>
      </c>
      <c r="B30" s="194"/>
      <c r="C30" s="45">
        <f>C17+C21+C28</f>
        <v>20452</v>
      </c>
      <c r="D30" s="45">
        <f>D17+D21+D28</f>
        <v>11379.95</v>
      </c>
      <c r="E30" s="45">
        <f>E17+E21+E28</f>
        <v>10743.5</v>
      </c>
      <c r="F30" s="45">
        <f>F17+F21+F28</f>
        <v>19488.73</v>
      </c>
      <c r="G30" s="168">
        <f>G17+G21+G28</f>
        <v>963.27</v>
      </c>
      <c r="H30" s="138">
        <f aca="true" t="shared" si="14" ref="H30">(D30/C30)</f>
        <v>0.5564223547819285</v>
      </c>
    </row>
    <row r="31" spans="1:8" ht="48.75" thickBot="1">
      <c r="A31" s="31" t="s">
        <v>42</v>
      </c>
      <c r="B31" s="32" t="s">
        <v>0</v>
      </c>
      <c r="C31" s="33" t="s">
        <v>256</v>
      </c>
      <c r="D31" s="58" t="s">
        <v>255</v>
      </c>
      <c r="E31" s="34" t="s">
        <v>265</v>
      </c>
      <c r="F31" s="58" t="s">
        <v>232</v>
      </c>
      <c r="G31" s="136"/>
      <c r="H31" s="137" t="s">
        <v>249</v>
      </c>
    </row>
    <row r="32" spans="1:8" ht="16.5" thickBot="1">
      <c r="A32" s="52" t="s">
        <v>45</v>
      </c>
      <c r="B32" s="41"/>
      <c r="C32" s="68"/>
      <c r="D32" s="42"/>
      <c r="E32" s="43"/>
      <c r="F32" s="42"/>
      <c r="G32" s="42"/>
      <c r="H32" s="106"/>
    </row>
    <row r="33" spans="1:8" ht="15">
      <c r="A33" s="19">
        <v>551</v>
      </c>
      <c r="B33" s="20" t="s">
        <v>9</v>
      </c>
      <c r="C33" s="91">
        <v>0</v>
      </c>
      <c r="D33" s="21">
        <v>0</v>
      </c>
      <c r="E33" s="91">
        <v>0</v>
      </c>
      <c r="F33" s="91">
        <v>0</v>
      </c>
      <c r="G33" s="126">
        <f aca="true" t="shared" si="15" ref="G33">SUM(C33-D33)</f>
        <v>0</v>
      </c>
      <c r="H33" s="107"/>
    </row>
    <row r="34" spans="1:8" ht="15">
      <c r="A34" s="19">
        <v>552</v>
      </c>
      <c r="B34" s="20" t="s">
        <v>12</v>
      </c>
      <c r="C34" s="25">
        <f>SUM(C35:C39)</f>
        <v>720</v>
      </c>
      <c r="D34" s="25">
        <f>SUM(D35:D39)</f>
        <v>304.29</v>
      </c>
      <c r="E34" s="25">
        <f>SUM(E35:E39)</f>
        <v>775.6700000000001</v>
      </c>
      <c r="F34" s="25">
        <f>SUM(F35:F39)</f>
        <v>1079.96</v>
      </c>
      <c r="G34" s="161">
        <f aca="true" t="shared" si="16" ref="G34:G59">SUM(C34-F34)</f>
        <v>-359.96000000000004</v>
      </c>
      <c r="H34" s="130">
        <f aca="true" t="shared" si="17" ref="H34:H59">(D34/C34)</f>
        <v>0.42262500000000003</v>
      </c>
    </row>
    <row r="35" spans="1:8" ht="15">
      <c r="A35" s="14" t="s">
        <v>98</v>
      </c>
      <c r="B35" s="15" t="s">
        <v>103</v>
      </c>
      <c r="C35" s="90">
        <v>450</v>
      </c>
      <c r="D35" s="7">
        <v>304.29</v>
      </c>
      <c r="E35" s="90">
        <v>505.67</v>
      </c>
      <c r="F35" s="90">
        <f>SUM(D35:E35)</f>
        <v>809.96</v>
      </c>
      <c r="G35" s="161">
        <f t="shared" si="16"/>
        <v>-359.96000000000004</v>
      </c>
      <c r="H35" s="130">
        <f t="shared" si="17"/>
        <v>0.6762</v>
      </c>
    </row>
    <row r="36" spans="1:8" ht="15">
      <c r="A36" s="14" t="s">
        <v>99</v>
      </c>
      <c r="B36" s="15" t="s">
        <v>104</v>
      </c>
      <c r="C36" s="65">
        <v>100</v>
      </c>
      <c r="D36" s="7">
        <v>0</v>
      </c>
      <c r="E36" s="65">
        <v>100</v>
      </c>
      <c r="F36" s="90">
        <f aca="true" t="shared" si="18" ref="F36:F88">SUM(D36:E36)</f>
        <v>100</v>
      </c>
      <c r="G36" s="161">
        <f t="shared" si="16"/>
        <v>0</v>
      </c>
      <c r="H36" s="130">
        <f t="shared" si="17"/>
        <v>0</v>
      </c>
    </row>
    <row r="37" spans="1:8" ht="15">
      <c r="A37" s="14" t="s">
        <v>100</v>
      </c>
      <c r="B37" s="15" t="s">
        <v>105</v>
      </c>
      <c r="C37" s="65">
        <v>70</v>
      </c>
      <c r="D37" s="7">
        <v>0</v>
      </c>
      <c r="E37" s="65">
        <v>70</v>
      </c>
      <c r="F37" s="90">
        <f t="shared" si="18"/>
        <v>70</v>
      </c>
      <c r="G37" s="161">
        <f t="shared" si="16"/>
        <v>0</v>
      </c>
      <c r="H37" s="130">
        <f t="shared" si="17"/>
        <v>0</v>
      </c>
    </row>
    <row r="38" spans="1:8" ht="15">
      <c r="A38" s="14" t="s">
        <v>101</v>
      </c>
      <c r="B38" s="15" t="s">
        <v>106</v>
      </c>
      <c r="C38" s="65">
        <v>70</v>
      </c>
      <c r="D38" s="7">
        <v>0</v>
      </c>
      <c r="E38" s="65">
        <v>70</v>
      </c>
      <c r="F38" s="90">
        <f t="shared" si="18"/>
        <v>70</v>
      </c>
      <c r="G38" s="161">
        <f t="shared" si="16"/>
        <v>0</v>
      </c>
      <c r="H38" s="130">
        <f t="shared" si="17"/>
        <v>0</v>
      </c>
    </row>
    <row r="39" spans="1:8" ht="15">
      <c r="A39" s="14" t="s">
        <v>102</v>
      </c>
      <c r="B39" s="15" t="s">
        <v>107</v>
      </c>
      <c r="C39" s="65">
        <v>30</v>
      </c>
      <c r="D39" s="7">
        <v>0</v>
      </c>
      <c r="E39" s="65">
        <v>30</v>
      </c>
      <c r="F39" s="90">
        <f t="shared" si="18"/>
        <v>30</v>
      </c>
      <c r="G39" s="161">
        <f t="shared" si="16"/>
        <v>0</v>
      </c>
      <c r="H39" s="130">
        <f t="shared" si="17"/>
        <v>0</v>
      </c>
    </row>
    <row r="40" spans="1:8" ht="15">
      <c r="A40" s="19">
        <v>554</v>
      </c>
      <c r="B40" s="20" t="s">
        <v>13</v>
      </c>
      <c r="C40" s="25">
        <v>3400</v>
      </c>
      <c r="D40" s="11">
        <v>3995.52</v>
      </c>
      <c r="E40" s="25">
        <v>0</v>
      </c>
      <c r="F40" s="91">
        <f t="shared" si="18"/>
        <v>3995.52</v>
      </c>
      <c r="G40" s="161">
        <f t="shared" si="16"/>
        <v>-595.52</v>
      </c>
      <c r="H40" s="130">
        <f t="shared" si="17"/>
        <v>1.1751529411764705</v>
      </c>
    </row>
    <row r="41" spans="1:8" ht="15">
      <c r="A41" s="19">
        <v>555</v>
      </c>
      <c r="B41" s="20" t="s">
        <v>26</v>
      </c>
      <c r="C41" s="25">
        <v>500</v>
      </c>
      <c r="D41" s="21">
        <v>512.03</v>
      </c>
      <c r="E41" s="25">
        <v>0</v>
      </c>
      <c r="F41" s="91">
        <f t="shared" si="18"/>
        <v>512.03</v>
      </c>
      <c r="G41" s="161">
        <f t="shared" si="16"/>
        <v>-12.029999999999973</v>
      </c>
      <c r="H41" s="130">
        <f t="shared" si="17"/>
        <v>1.02406</v>
      </c>
    </row>
    <row r="42" spans="1:8" ht="15">
      <c r="A42" s="19">
        <v>556</v>
      </c>
      <c r="B42" s="20" t="s">
        <v>27</v>
      </c>
      <c r="C42" s="25">
        <v>375</v>
      </c>
      <c r="D42" s="21">
        <v>375</v>
      </c>
      <c r="E42" s="25">
        <v>0</v>
      </c>
      <c r="F42" s="91">
        <f t="shared" si="18"/>
        <v>375</v>
      </c>
      <c r="G42" s="161">
        <f t="shared" si="16"/>
        <v>0</v>
      </c>
      <c r="H42" s="130">
        <f t="shared" si="17"/>
        <v>1</v>
      </c>
    </row>
    <row r="43" spans="1:8" ht="15">
      <c r="A43" s="19">
        <v>558</v>
      </c>
      <c r="B43" s="20" t="s">
        <v>14</v>
      </c>
      <c r="C43" s="25">
        <f>SUM(C44:C47)</f>
        <v>5350</v>
      </c>
      <c r="D43" s="25">
        <f>SUM(D44:D47)</f>
        <v>2246.2</v>
      </c>
      <c r="E43" s="25">
        <f>SUM(E44:E47)</f>
        <v>2197.5</v>
      </c>
      <c r="F43" s="25">
        <f>SUM(F44:F47)</f>
        <v>4443.7</v>
      </c>
      <c r="G43" s="161">
        <f t="shared" si="16"/>
        <v>906.3000000000002</v>
      </c>
      <c r="H43" s="130">
        <f t="shared" si="17"/>
        <v>0.4198504672897196</v>
      </c>
    </row>
    <row r="44" spans="1:8" ht="15">
      <c r="A44" s="14" t="s">
        <v>108</v>
      </c>
      <c r="B44" s="15" t="s">
        <v>24</v>
      </c>
      <c r="C44" s="65">
        <v>2300</v>
      </c>
      <c r="D44" s="7">
        <v>1150</v>
      </c>
      <c r="E44" s="65">
        <v>1150</v>
      </c>
      <c r="F44" s="90">
        <f t="shared" si="18"/>
        <v>2300</v>
      </c>
      <c r="G44" s="161">
        <f t="shared" si="16"/>
        <v>0</v>
      </c>
      <c r="H44" s="130">
        <f t="shared" si="17"/>
        <v>0.5</v>
      </c>
    </row>
    <row r="45" spans="1:8" ht="15">
      <c r="A45" s="14" t="s">
        <v>109</v>
      </c>
      <c r="B45" s="15" t="s">
        <v>114</v>
      </c>
      <c r="C45" s="65">
        <v>1800</v>
      </c>
      <c r="D45" s="7">
        <v>395.54</v>
      </c>
      <c r="E45" s="65">
        <v>500</v>
      </c>
      <c r="F45" s="90">
        <f t="shared" si="18"/>
        <v>895.54</v>
      </c>
      <c r="G45" s="161">
        <f t="shared" si="16"/>
        <v>904.46</v>
      </c>
      <c r="H45" s="130">
        <f t="shared" si="17"/>
        <v>0.21974444444444446</v>
      </c>
    </row>
    <row r="46" spans="1:8" ht="15">
      <c r="A46" s="14" t="s">
        <v>110</v>
      </c>
      <c r="B46" s="15" t="s">
        <v>113</v>
      </c>
      <c r="C46" s="65">
        <v>600</v>
      </c>
      <c r="D46" s="7">
        <v>331.14</v>
      </c>
      <c r="E46" s="65">
        <v>240</v>
      </c>
      <c r="F46" s="90">
        <f t="shared" si="18"/>
        <v>571.14</v>
      </c>
      <c r="G46" s="161">
        <f t="shared" si="16"/>
        <v>28.860000000000014</v>
      </c>
      <c r="H46" s="130">
        <f t="shared" si="17"/>
        <v>0.5519</v>
      </c>
    </row>
    <row r="47" spans="1:8" ht="15">
      <c r="A47" s="14" t="s">
        <v>111</v>
      </c>
      <c r="B47" s="15" t="s">
        <v>112</v>
      </c>
      <c r="C47" s="65">
        <v>650</v>
      </c>
      <c r="D47" s="7">
        <v>369.52</v>
      </c>
      <c r="E47" s="65">
        <v>307.5</v>
      </c>
      <c r="F47" s="90">
        <f t="shared" si="18"/>
        <v>677.02</v>
      </c>
      <c r="G47" s="161">
        <f t="shared" si="16"/>
        <v>-27.019999999999982</v>
      </c>
      <c r="H47" s="130">
        <f t="shared" si="17"/>
        <v>0.5684923076923076</v>
      </c>
    </row>
    <row r="48" spans="1:8" ht="15">
      <c r="A48" s="19">
        <v>559</v>
      </c>
      <c r="B48" s="20" t="s">
        <v>28</v>
      </c>
      <c r="C48" s="87">
        <v>2100</v>
      </c>
      <c r="D48" s="21">
        <v>1648.67</v>
      </c>
      <c r="E48" s="87">
        <v>451.33</v>
      </c>
      <c r="F48" s="91">
        <f t="shared" si="18"/>
        <v>2100</v>
      </c>
      <c r="G48" s="161">
        <f t="shared" si="16"/>
        <v>0</v>
      </c>
      <c r="H48" s="130">
        <f t="shared" si="17"/>
        <v>0.7850809523809524</v>
      </c>
    </row>
    <row r="49" spans="1:8" ht="15">
      <c r="A49" s="19">
        <v>560</v>
      </c>
      <c r="B49" s="20" t="s">
        <v>29</v>
      </c>
      <c r="C49" s="25">
        <f>SUM(C50:C66)</f>
        <v>3200</v>
      </c>
      <c r="D49" s="25">
        <f>SUM(D50:D66)</f>
        <v>7289.490000000001</v>
      </c>
      <c r="E49" s="25">
        <f>SUM(E50:E66)</f>
        <v>2427.8599999999997</v>
      </c>
      <c r="F49" s="25">
        <f>SUM(F50:F66)</f>
        <v>9717.35</v>
      </c>
      <c r="G49" s="161">
        <f t="shared" si="16"/>
        <v>-6517.35</v>
      </c>
      <c r="H49" s="130">
        <f t="shared" si="17"/>
        <v>2.277965625</v>
      </c>
    </row>
    <row r="50" spans="1:8" ht="15">
      <c r="A50" s="14" t="s">
        <v>115</v>
      </c>
      <c r="B50" s="15" t="s">
        <v>139</v>
      </c>
      <c r="C50" s="65">
        <v>0</v>
      </c>
      <c r="D50" s="7">
        <v>0</v>
      </c>
      <c r="E50" s="65">
        <v>0</v>
      </c>
      <c r="F50" s="90">
        <f t="shared" si="18"/>
        <v>0</v>
      </c>
      <c r="G50" s="161">
        <f t="shared" si="16"/>
        <v>0</v>
      </c>
      <c r="H50" s="130"/>
    </row>
    <row r="51" spans="1:8" ht="15">
      <c r="A51" s="14" t="s">
        <v>116</v>
      </c>
      <c r="B51" s="15" t="s">
        <v>120</v>
      </c>
      <c r="C51" s="65">
        <v>0</v>
      </c>
      <c r="D51" s="7">
        <v>6434.3</v>
      </c>
      <c r="E51" s="65">
        <v>0</v>
      </c>
      <c r="F51" s="90">
        <f t="shared" si="18"/>
        <v>6434.3</v>
      </c>
      <c r="G51" s="161">
        <f t="shared" si="16"/>
        <v>-6434.3</v>
      </c>
      <c r="H51" s="130"/>
    </row>
    <row r="52" spans="1:8" ht="15">
      <c r="A52" s="14" t="s">
        <v>117</v>
      </c>
      <c r="B52" s="15" t="s">
        <v>121</v>
      </c>
      <c r="C52" s="65">
        <v>250</v>
      </c>
      <c r="D52" s="7">
        <v>0</v>
      </c>
      <c r="E52" s="65">
        <v>250</v>
      </c>
      <c r="F52" s="90">
        <f t="shared" si="18"/>
        <v>250</v>
      </c>
      <c r="G52" s="161">
        <f t="shared" si="16"/>
        <v>0</v>
      </c>
      <c r="H52" s="130">
        <f t="shared" si="17"/>
        <v>0</v>
      </c>
    </row>
    <row r="53" spans="1:8" ht="15">
      <c r="A53" s="14" t="s">
        <v>118</v>
      </c>
      <c r="B53" s="15" t="s">
        <v>122</v>
      </c>
      <c r="C53" s="65">
        <v>0</v>
      </c>
      <c r="D53" s="7">
        <v>6.88</v>
      </c>
      <c r="E53" s="65">
        <v>0</v>
      </c>
      <c r="F53" s="90">
        <f t="shared" si="18"/>
        <v>6.88</v>
      </c>
      <c r="G53" s="161">
        <f t="shared" si="16"/>
        <v>-6.88</v>
      </c>
      <c r="H53" s="130"/>
    </row>
    <row r="54" spans="1:8" ht="15">
      <c r="A54" s="14" t="s">
        <v>119</v>
      </c>
      <c r="B54" s="15" t="s">
        <v>123</v>
      </c>
      <c r="C54" s="65">
        <v>0</v>
      </c>
      <c r="D54" s="7">
        <v>0</v>
      </c>
      <c r="E54" s="65">
        <v>0</v>
      </c>
      <c r="F54" s="90">
        <f t="shared" si="18"/>
        <v>0</v>
      </c>
      <c r="G54" s="161">
        <f t="shared" si="16"/>
        <v>0</v>
      </c>
      <c r="H54" s="130"/>
    </row>
    <row r="55" spans="1:8" ht="15">
      <c r="A55" s="14" t="s">
        <v>140</v>
      </c>
      <c r="B55" s="15" t="s">
        <v>124</v>
      </c>
      <c r="C55" s="65">
        <v>0</v>
      </c>
      <c r="D55" s="7">
        <v>0</v>
      </c>
      <c r="E55" s="65">
        <v>0</v>
      </c>
      <c r="F55" s="90">
        <f t="shared" si="18"/>
        <v>0</v>
      </c>
      <c r="G55" s="161">
        <f t="shared" si="16"/>
        <v>0</v>
      </c>
      <c r="H55" s="130"/>
    </row>
    <row r="56" spans="1:8" ht="15">
      <c r="A56" s="14" t="s">
        <v>125</v>
      </c>
      <c r="B56" s="15" t="s">
        <v>127</v>
      </c>
      <c r="C56" s="65">
        <v>0</v>
      </c>
      <c r="D56" s="7">
        <v>0</v>
      </c>
      <c r="E56" s="65">
        <v>0</v>
      </c>
      <c r="F56" s="90">
        <f t="shared" si="18"/>
        <v>0</v>
      </c>
      <c r="G56" s="161">
        <f t="shared" si="16"/>
        <v>0</v>
      </c>
      <c r="H56" s="130"/>
    </row>
    <row r="57" spans="1:8" ht="15">
      <c r="A57" s="14" t="s">
        <v>126</v>
      </c>
      <c r="B57" s="15" t="s">
        <v>86</v>
      </c>
      <c r="C57" s="88">
        <v>200</v>
      </c>
      <c r="D57" s="7">
        <v>0</v>
      </c>
      <c r="E57" s="88">
        <v>200</v>
      </c>
      <c r="F57" s="90">
        <f t="shared" si="18"/>
        <v>200</v>
      </c>
      <c r="G57" s="161">
        <f t="shared" si="16"/>
        <v>0</v>
      </c>
      <c r="H57" s="130">
        <f t="shared" si="17"/>
        <v>0</v>
      </c>
    </row>
    <row r="58" spans="1:8" ht="15">
      <c r="A58" s="14" t="s">
        <v>128</v>
      </c>
      <c r="B58" s="15" t="s">
        <v>130</v>
      </c>
      <c r="C58" s="89">
        <v>100</v>
      </c>
      <c r="D58" s="7">
        <v>0</v>
      </c>
      <c r="E58" s="89">
        <v>100</v>
      </c>
      <c r="F58" s="90">
        <f t="shared" si="18"/>
        <v>100</v>
      </c>
      <c r="G58" s="161">
        <f t="shared" si="16"/>
        <v>0</v>
      </c>
      <c r="H58" s="130">
        <f t="shared" si="17"/>
        <v>0</v>
      </c>
    </row>
    <row r="59" spans="1:8" ht="15.75" thickBot="1">
      <c r="A59" s="14" t="s">
        <v>129</v>
      </c>
      <c r="B59" s="15" t="s">
        <v>131</v>
      </c>
      <c r="C59" s="65">
        <v>1500</v>
      </c>
      <c r="D59" s="7">
        <v>582.96</v>
      </c>
      <c r="E59" s="65">
        <v>917.04</v>
      </c>
      <c r="F59" s="90">
        <f t="shared" si="18"/>
        <v>1500</v>
      </c>
      <c r="G59" s="161">
        <f t="shared" si="16"/>
        <v>0</v>
      </c>
      <c r="H59" s="130">
        <f t="shared" si="17"/>
        <v>0.38864000000000004</v>
      </c>
    </row>
    <row r="60" spans="1:8" ht="48.75" thickBot="1">
      <c r="A60" s="31" t="s">
        <v>42</v>
      </c>
      <c r="B60" s="32" t="s">
        <v>0</v>
      </c>
      <c r="C60" s="33" t="s">
        <v>256</v>
      </c>
      <c r="D60" s="58" t="s">
        <v>255</v>
      </c>
      <c r="E60" s="34" t="s">
        <v>265</v>
      </c>
      <c r="F60" s="58" t="s">
        <v>232</v>
      </c>
      <c r="G60" s="58"/>
      <c r="H60" s="131" t="s">
        <v>249</v>
      </c>
    </row>
    <row r="61" spans="1:8" ht="15">
      <c r="A61" s="14" t="s">
        <v>132</v>
      </c>
      <c r="B61" s="15" t="s">
        <v>133</v>
      </c>
      <c r="C61" s="90">
        <v>750</v>
      </c>
      <c r="D61" s="7">
        <v>53.22</v>
      </c>
      <c r="E61" s="90">
        <v>696.78</v>
      </c>
      <c r="F61" s="90">
        <f t="shared" si="18"/>
        <v>750</v>
      </c>
      <c r="G61" s="161">
        <f aca="true" t="shared" si="19" ref="G61:G88">SUM(C61-F61)</f>
        <v>0</v>
      </c>
      <c r="H61" s="130">
        <f aca="true" t="shared" si="20" ref="H61:H88">(D61/C61)</f>
        <v>0.07096</v>
      </c>
    </row>
    <row r="62" spans="1:8" ht="15">
      <c r="A62" s="14" t="s">
        <v>134</v>
      </c>
      <c r="B62" s="15" t="s">
        <v>44</v>
      </c>
      <c r="C62" s="65">
        <v>0</v>
      </c>
      <c r="D62" s="7">
        <v>0</v>
      </c>
      <c r="E62" s="65">
        <v>0</v>
      </c>
      <c r="F62" s="90">
        <f t="shared" si="18"/>
        <v>0</v>
      </c>
      <c r="G62" s="161">
        <f t="shared" si="19"/>
        <v>0</v>
      </c>
      <c r="H62" s="130"/>
    </row>
    <row r="63" spans="1:8" ht="15">
      <c r="A63" s="14" t="s">
        <v>135</v>
      </c>
      <c r="B63" s="15" t="s">
        <v>136</v>
      </c>
      <c r="C63" s="65">
        <v>0</v>
      </c>
      <c r="D63" s="7">
        <v>0</v>
      </c>
      <c r="E63" s="65">
        <v>0</v>
      </c>
      <c r="F63" s="90">
        <f t="shared" si="18"/>
        <v>0</v>
      </c>
      <c r="G63" s="161">
        <f t="shared" si="19"/>
        <v>0</v>
      </c>
      <c r="H63" s="130"/>
    </row>
    <row r="64" spans="1:8" ht="15">
      <c r="A64" s="14" t="s">
        <v>137</v>
      </c>
      <c r="B64" s="15" t="s">
        <v>224</v>
      </c>
      <c r="C64" s="65">
        <v>0</v>
      </c>
      <c r="D64" s="7">
        <v>0</v>
      </c>
      <c r="E64" s="65">
        <v>74.17</v>
      </c>
      <c r="F64" s="90">
        <f t="shared" si="18"/>
        <v>74.17</v>
      </c>
      <c r="G64" s="161">
        <f t="shared" si="19"/>
        <v>-74.17</v>
      </c>
      <c r="H64" s="130"/>
    </row>
    <row r="65" spans="1:8" ht="15">
      <c r="A65" s="14" t="s">
        <v>141</v>
      </c>
      <c r="B65" s="15" t="s">
        <v>142</v>
      </c>
      <c r="C65" s="65">
        <v>250</v>
      </c>
      <c r="D65" s="7">
        <v>166.63</v>
      </c>
      <c r="E65" s="65">
        <v>85.37</v>
      </c>
      <c r="F65" s="90">
        <f t="shared" si="18"/>
        <v>252</v>
      </c>
      <c r="G65" s="161">
        <f t="shared" si="19"/>
        <v>-2</v>
      </c>
      <c r="H65" s="130">
        <f t="shared" si="20"/>
        <v>0.66652</v>
      </c>
    </row>
    <row r="66" spans="1:8" ht="15">
      <c r="A66" s="14" t="s">
        <v>138</v>
      </c>
      <c r="B66" s="15" t="s">
        <v>65</v>
      </c>
      <c r="C66" s="88">
        <v>150</v>
      </c>
      <c r="D66" s="7">
        <v>45.5</v>
      </c>
      <c r="E66" s="88">
        <v>104.5</v>
      </c>
      <c r="F66" s="90">
        <f t="shared" si="18"/>
        <v>150</v>
      </c>
      <c r="G66" s="161">
        <f t="shared" si="19"/>
        <v>0</v>
      </c>
      <c r="H66" s="130">
        <f t="shared" si="20"/>
        <v>0.30333333333333334</v>
      </c>
    </row>
    <row r="67" spans="1:8" ht="15">
      <c r="A67" s="19">
        <v>561</v>
      </c>
      <c r="B67" s="20" t="s">
        <v>18</v>
      </c>
      <c r="C67" s="25">
        <f>SUM(C68:C85)</f>
        <v>8510</v>
      </c>
      <c r="D67" s="25">
        <f>SUM(D68:D85)</f>
        <v>3480.59</v>
      </c>
      <c r="E67" s="25">
        <f>SUM(E68:E85)</f>
        <v>5359.639999999999</v>
      </c>
      <c r="F67" s="25">
        <f>SUM(F68:F85)</f>
        <v>8840.23</v>
      </c>
      <c r="G67" s="161">
        <f t="shared" si="19"/>
        <v>-330.22999999999956</v>
      </c>
      <c r="H67" s="130">
        <f t="shared" si="20"/>
        <v>0.40900000000000003</v>
      </c>
    </row>
    <row r="68" spans="1:8" ht="15">
      <c r="A68" s="14" t="s">
        <v>143</v>
      </c>
      <c r="B68" s="15" t="s">
        <v>139</v>
      </c>
      <c r="C68" s="65">
        <v>1500</v>
      </c>
      <c r="D68" s="7">
        <v>1486.32</v>
      </c>
      <c r="E68" s="65">
        <v>13.68</v>
      </c>
      <c r="F68" s="90">
        <f t="shared" si="18"/>
        <v>1500</v>
      </c>
      <c r="G68" s="161">
        <f t="shared" si="19"/>
        <v>0</v>
      </c>
      <c r="H68" s="130">
        <f t="shared" si="20"/>
        <v>0.99088</v>
      </c>
    </row>
    <row r="69" spans="1:8" ht="15">
      <c r="A69" s="14" t="s">
        <v>144</v>
      </c>
      <c r="B69" s="15" t="s">
        <v>120</v>
      </c>
      <c r="C69" s="88">
        <v>1200</v>
      </c>
      <c r="D69" s="7">
        <v>636.27</v>
      </c>
      <c r="E69" s="88">
        <v>713.96</v>
      </c>
      <c r="F69" s="90">
        <f t="shared" si="18"/>
        <v>1350.23</v>
      </c>
      <c r="G69" s="161">
        <f t="shared" si="19"/>
        <v>-150.23000000000002</v>
      </c>
      <c r="H69" s="130">
        <f t="shared" si="20"/>
        <v>0.530225</v>
      </c>
    </row>
    <row r="70" spans="1:8" ht="15">
      <c r="A70" s="14" t="s">
        <v>145</v>
      </c>
      <c r="B70" s="15" t="s">
        <v>121</v>
      </c>
      <c r="C70" s="65">
        <v>200</v>
      </c>
      <c r="D70" s="7">
        <v>0</v>
      </c>
      <c r="E70" s="65">
        <v>200</v>
      </c>
      <c r="F70" s="90">
        <f t="shared" si="18"/>
        <v>200</v>
      </c>
      <c r="G70" s="161">
        <f t="shared" si="19"/>
        <v>0</v>
      </c>
      <c r="H70" s="130">
        <f t="shared" si="20"/>
        <v>0</v>
      </c>
    </row>
    <row r="71" spans="1:8" ht="15">
      <c r="A71" s="14" t="s">
        <v>146</v>
      </c>
      <c r="B71" s="15" t="s">
        <v>223</v>
      </c>
      <c r="C71" s="65">
        <v>350</v>
      </c>
      <c r="D71" s="7">
        <v>0</v>
      </c>
      <c r="E71" s="65">
        <v>350</v>
      </c>
      <c r="F71" s="90">
        <f t="shared" si="18"/>
        <v>350</v>
      </c>
      <c r="G71" s="161">
        <f t="shared" si="19"/>
        <v>0</v>
      </c>
      <c r="H71" s="130">
        <f t="shared" si="20"/>
        <v>0</v>
      </c>
    </row>
    <row r="72" spans="1:8" ht="15">
      <c r="A72" s="14" t="s">
        <v>147</v>
      </c>
      <c r="B72" s="15" t="s">
        <v>122</v>
      </c>
      <c r="C72" s="65">
        <v>350</v>
      </c>
      <c r="D72" s="7">
        <v>0</v>
      </c>
      <c r="E72" s="65">
        <v>350</v>
      </c>
      <c r="F72" s="90">
        <f t="shared" si="18"/>
        <v>350</v>
      </c>
      <c r="G72" s="161">
        <f t="shared" si="19"/>
        <v>0</v>
      </c>
      <c r="H72" s="130">
        <f t="shared" si="20"/>
        <v>0</v>
      </c>
    </row>
    <row r="73" spans="1:8" ht="15">
      <c r="A73" s="14" t="s">
        <v>148</v>
      </c>
      <c r="B73" s="15" t="s">
        <v>123</v>
      </c>
      <c r="C73" s="65">
        <v>75</v>
      </c>
      <c r="D73" s="7">
        <v>0</v>
      </c>
      <c r="E73" s="65">
        <v>75</v>
      </c>
      <c r="F73" s="90">
        <f t="shared" si="18"/>
        <v>75</v>
      </c>
      <c r="G73" s="161">
        <f t="shared" si="19"/>
        <v>0</v>
      </c>
      <c r="H73" s="130">
        <f t="shared" si="20"/>
        <v>0</v>
      </c>
    </row>
    <row r="74" spans="1:8" ht="15">
      <c r="A74" s="14" t="s">
        <v>149</v>
      </c>
      <c r="B74" s="15" t="s">
        <v>156</v>
      </c>
      <c r="C74" s="90">
        <v>250</v>
      </c>
      <c r="D74" s="7">
        <v>0</v>
      </c>
      <c r="E74" s="90">
        <v>250</v>
      </c>
      <c r="F74" s="90">
        <f t="shared" si="18"/>
        <v>250</v>
      </c>
      <c r="G74" s="161">
        <f t="shared" si="19"/>
        <v>0</v>
      </c>
      <c r="H74" s="130">
        <f t="shared" si="20"/>
        <v>0</v>
      </c>
    </row>
    <row r="75" spans="1:8" ht="15">
      <c r="A75" s="14" t="s">
        <v>150</v>
      </c>
      <c r="B75" s="15" t="s">
        <v>86</v>
      </c>
      <c r="C75" s="89">
        <v>750</v>
      </c>
      <c r="D75" s="7">
        <v>678</v>
      </c>
      <c r="E75" s="89">
        <v>72</v>
      </c>
      <c r="F75" s="90">
        <f t="shared" si="18"/>
        <v>750</v>
      </c>
      <c r="G75" s="161">
        <f t="shared" si="19"/>
        <v>0</v>
      </c>
      <c r="H75" s="130">
        <f t="shared" si="20"/>
        <v>0.904</v>
      </c>
    </row>
    <row r="76" spans="1:8" ht="15">
      <c r="A76" s="14" t="s">
        <v>151</v>
      </c>
      <c r="B76" s="15" t="s">
        <v>157</v>
      </c>
      <c r="C76" s="89">
        <v>0</v>
      </c>
      <c r="D76" s="7">
        <v>0</v>
      </c>
      <c r="E76" s="89">
        <v>0</v>
      </c>
      <c r="F76" s="90">
        <f t="shared" si="18"/>
        <v>0</v>
      </c>
      <c r="G76" s="161">
        <f t="shared" si="19"/>
        <v>0</v>
      </c>
      <c r="H76" s="130"/>
    </row>
    <row r="77" spans="1:8" ht="15">
      <c r="A77" s="14" t="s">
        <v>152</v>
      </c>
      <c r="B77" s="15" t="s">
        <v>130</v>
      </c>
      <c r="C77" s="90">
        <v>1500</v>
      </c>
      <c r="D77" s="7">
        <v>0</v>
      </c>
      <c r="E77" s="90">
        <v>1500</v>
      </c>
      <c r="F77" s="90">
        <f t="shared" si="18"/>
        <v>1500</v>
      </c>
      <c r="G77" s="161">
        <f t="shared" si="19"/>
        <v>0</v>
      </c>
      <c r="H77" s="130">
        <f t="shared" si="20"/>
        <v>0</v>
      </c>
    </row>
    <row r="78" spans="1:8" ht="15">
      <c r="A78" s="14" t="s">
        <v>153</v>
      </c>
      <c r="B78" s="15" t="s">
        <v>158</v>
      </c>
      <c r="C78" s="89">
        <v>585</v>
      </c>
      <c r="D78" s="7">
        <v>0</v>
      </c>
      <c r="E78" s="89">
        <v>585</v>
      </c>
      <c r="F78" s="90">
        <f t="shared" si="18"/>
        <v>585</v>
      </c>
      <c r="G78" s="161">
        <f t="shared" si="19"/>
        <v>0</v>
      </c>
      <c r="H78" s="130">
        <f t="shared" si="20"/>
        <v>0</v>
      </c>
    </row>
    <row r="79" spans="1:8" ht="15">
      <c r="A79" s="14" t="s">
        <v>154</v>
      </c>
      <c r="B79" s="15" t="s">
        <v>159</v>
      </c>
      <c r="C79" s="65">
        <v>500</v>
      </c>
      <c r="D79" s="7">
        <v>0</v>
      </c>
      <c r="E79" s="65">
        <v>500</v>
      </c>
      <c r="F79" s="90">
        <f t="shared" si="18"/>
        <v>500</v>
      </c>
      <c r="G79" s="161">
        <f t="shared" si="19"/>
        <v>0</v>
      </c>
      <c r="H79" s="130">
        <f t="shared" si="20"/>
        <v>0</v>
      </c>
    </row>
    <row r="80" spans="1:8" ht="15">
      <c r="A80" s="14" t="s">
        <v>155</v>
      </c>
      <c r="B80" s="15" t="s">
        <v>191</v>
      </c>
      <c r="C80" s="90">
        <v>0</v>
      </c>
      <c r="D80" s="7">
        <v>0</v>
      </c>
      <c r="E80" s="90">
        <v>0</v>
      </c>
      <c r="F80" s="90">
        <f t="shared" si="18"/>
        <v>0</v>
      </c>
      <c r="G80" s="161">
        <f t="shared" si="19"/>
        <v>0</v>
      </c>
      <c r="H80" s="130"/>
    </row>
    <row r="81" spans="1:8" ht="15">
      <c r="A81" s="14" t="s">
        <v>160</v>
      </c>
      <c r="B81" s="15" t="s">
        <v>192</v>
      </c>
      <c r="C81" s="65">
        <v>400</v>
      </c>
      <c r="D81" s="7">
        <v>0</v>
      </c>
      <c r="E81" s="65">
        <v>400</v>
      </c>
      <c r="F81" s="90">
        <f t="shared" si="18"/>
        <v>400</v>
      </c>
      <c r="G81" s="161">
        <f t="shared" si="19"/>
        <v>0</v>
      </c>
      <c r="H81" s="130">
        <f t="shared" si="20"/>
        <v>0</v>
      </c>
    </row>
    <row r="82" spans="1:8" ht="15">
      <c r="A82" s="14" t="s">
        <v>193</v>
      </c>
      <c r="B82" s="15" t="s">
        <v>194</v>
      </c>
      <c r="C82" s="65">
        <v>100</v>
      </c>
      <c r="D82" s="7">
        <v>0</v>
      </c>
      <c r="E82" s="65">
        <v>100</v>
      </c>
      <c r="F82" s="90">
        <f t="shared" si="18"/>
        <v>100</v>
      </c>
      <c r="G82" s="161">
        <f t="shared" si="19"/>
        <v>0</v>
      </c>
      <c r="H82" s="130">
        <f t="shared" si="20"/>
        <v>0</v>
      </c>
    </row>
    <row r="83" spans="1:8" ht="15">
      <c r="A83" s="14" t="s">
        <v>196</v>
      </c>
      <c r="B83" s="15" t="s">
        <v>195</v>
      </c>
      <c r="C83" s="65">
        <v>250</v>
      </c>
      <c r="D83" s="7">
        <v>0</v>
      </c>
      <c r="E83" s="65">
        <v>250</v>
      </c>
      <c r="F83" s="90">
        <f t="shared" si="18"/>
        <v>250</v>
      </c>
      <c r="G83" s="161">
        <f t="shared" si="19"/>
        <v>0</v>
      </c>
      <c r="H83" s="130">
        <f t="shared" si="20"/>
        <v>0</v>
      </c>
    </row>
    <row r="84" spans="1:8" ht="15">
      <c r="A84" s="14" t="s">
        <v>201</v>
      </c>
      <c r="B84" s="15" t="s">
        <v>44</v>
      </c>
      <c r="C84" s="65">
        <v>0</v>
      </c>
      <c r="D84" s="7">
        <v>0</v>
      </c>
      <c r="E84" s="65">
        <v>0</v>
      </c>
      <c r="F84" s="90">
        <f t="shared" si="18"/>
        <v>0</v>
      </c>
      <c r="G84" s="161">
        <f t="shared" si="19"/>
        <v>0</v>
      </c>
      <c r="H84" s="130"/>
    </row>
    <row r="85" spans="1:8" ht="15">
      <c r="A85" s="14" t="s">
        <v>225</v>
      </c>
      <c r="B85" s="15" t="s">
        <v>65</v>
      </c>
      <c r="C85" s="65">
        <v>500</v>
      </c>
      <c r="D85" s="7">
        <v>680</v>
      </c>
      <c r="E85" s="65">
        <v>0</v>
      </c>
      <c r="F85" s="90">
        <f t="shared" si="18"/>
        <v>680</v>
      </c>
      <c r="G85" s="161">
        <f t="shared" si="19"/>
        <v>-180</v>
      </c>
      <c r="H85" s="130"/>
    </row>
    <row r="86" spans="1:8" ht="15">
      <c r="A86" s="19">
        <v>563</v>
      </c>
      <c r="B86" s="20" t="s">
        <v>30</v>
      </c>
      <c r="C86" s="25">
        <f>SUM(C87:C92)</f>
        <v>5220</v>
      </c>
      <c r="D86" s="25">
        <f>SUM(D87:D92)</f>
        <v>2383.16</v>
      </c>
      <c r="E86" s="25">
        <f>SUM(E87:E92)</f>
        <v>3629.3</v>
      </c>
      <c r="F86" s="25">
        <f>SUM(F87:F92)</f>
        <v>6012.459999999999</v>
      </c>
      <c r="G86" s="161">
        <f t="shared" si="19"/>
        <v>-792.4599999999991</v>
      </c>
      <c r="H86" s="130">
        <f t="shared" si="20"/>
        <v>0.456544061302682</v>
      </c>
    </row>
    <row r="87" spans="1:8" ht="15">
      <c r="A87" s="14" t="s">
        <v>161</v>
      </c>
      <c r="B87" s="15" t="s">
        <v>162</v>
      </c>
      <c r="C87" s="89">
        <v>2950</v>
      </c>
      <c r="D87" s="7">
        <v>1212.56</v>
      </c>
      <c r="E87" s="89">
        <v>1714.3</v>
      </c>
      <c r="F87" s="90">
        <f t="shared" si="18"/>
        <v>2926.8599999999997</v>
      </c>
      <c r="G87" s="161">
        <f t="shared" si="19"/>
        <v>23.140000000000327</v>
      </c>
      <c r="H87" s="130">
        <f t="shared" si="20"/>
        <v>0.4110372881355932</v>
      </c>
    </row>
    <row r="88" spans="1:8" ht="15.75" thickBot="1">
      <c r="A88" s="14" t="s">
        <v>163</v>
      </c>
      <c r="B88" s="15" t="s">
        <v>113</v>
      </c>
      <c r="C88" s="65">
        <v>240</v>
      </c>
      <c r="D88" s="7">
        <v>193.58</v>
      </c>
      <c r="E88" s="65">
        <v>190</v>
      </c>
      <c r="F88" s="90">
        <f t="shared" si="18"/>
        <v>383.58000000000004</v>
      </c>
      <c r="G88" s="161">
        <f t="shared" si="19"/>
        <v>-143.58000000000004</v>
      </c>
      <c r="H88" s="130">
        <f t="shared" si="20"/>
        <v>0.8065833333333334</v>
      </c>
    </row>
    <row r="89" spans="1:8" ht="48.75" thickBot="1">
      <c r="A89" s="31" t="s">
        <v>42</v>
      </c>
      <c r="B89" s="32" t="s">
        <v>0</v>
      </c>
      <c r="C89" s="33" t="s">
        <v>256</v>
      </c>
      <c r="D89" s="58" t="s">
        <v>255</v>
      </c>
      <c r="E89" s="34" t="s">
        <v>265</v>
      </c>
      <c r="F89" s="58" t="s">
        <v>232</v>
      </c>
      <c r="G89" s="58"/>
      <c r="H89" s="131" t="s">
        <v>249</v>
      </c>
    </row>
    <row r="90" spans="1:8" ht="15">
      <c r="A90" s="14" t="s">
        <v>164</v>
      </c>
      <c r="B90" s="15" t="s">
        <v>114</v>
      </c>
      <c r="C90" s="65">
        <v>1280</v>
      </c>
      <c r="D90" s="7">
        <v>977.02</v>
      </c>
      <c r="E90" s="65">
        <v>975</v>
      </c>
      <c r="F90" s="90">
        <f aca="true" t="shared" si="21" ref="F90:F97">SUM(D90:E90)</f>
        <v>1952.02</v>
      </c>
      <c r="G90" s="169">
        <f aca="true" t="shared" si="22" ref="G90:G94">SUM(C90-F90)</f>
        <v>-672.02</v>
      </c>
      <c r="H90" s="130">
        <f aca="true" t="shared" si="23" ref="H90:H98">(D90/C90)</f>
        <v>0.763296875</v>
      </c>
    </row>
    <row r="91" spans="1:8" ht="15">
      <c r="A91" s="14" t="s">
        <v>165</v>
      </c>
      <c r="B91" s="15" t="s">
        <v>166</v>
      </c>
      <c r="C91" s="89">
        <v>750</v>
      </c>
      <c r="D91" s="7">
        <v>0</v>
      </c>
      <c r="E91" s="89">
        <v>750</v>
      </c>
      <c r="F91" s="90">
        <f t="shared" si="21"/>
        <v>750</v>
      </c>
      <c r="G91" s="169">
        <f t="shared" si="22"/>
        <v>0</v>
      </c>
      <c r="H91" s="130">
        <f t="shared" si="23"/>
        <v>0</v>
      </c>
    </row>
    <row r="92" spans="1:8" ht="15">
      <c r="A92" s="14" t="s">
        <v>167</v>
      </c>
      <c r="B92" s="15" t="s">
        <v>168</v>
      </c>
      <c r="C92" s="65">
        <v>0</v>
      </c>
      <c r="D92" s="7">
        <v>0</v>
      </c>
      <c r="E92" s="65">
        <v>0</v>
      </c>
      <c r="F92" s="90">
        <f t="shared" si="21"/>
        <v>0</v>
      </c>
      <c r="G92" s="169">
        <f t="shared" si="22"/>
        <v>0</v>
      </c>
      <c r="H92" s="130"/>
    </row>
    <row r="93" spans="1:8" ht="15">
      <c r="A93" s="19">
        <v>574</v>
      </c>
      <c r="B93" s="20" t="s">
        <v>6</v>
      </c>
      <c r="C93" s="25">
        <v>0</v>
      </c>
      <c r="D93" s="21">
        <v>0</v>
      </c>
      <c r="E93" s="25">
        <v>0</v>
      </c>
      <c r="F93" s="91">
        <f t="shared" si="21"/>
        <v>0</v>
      </c>
      <c r="G93" s="161">
        <f t="shared" si="22"/>
        <v>0</v>
      </c>
      <c r="H93" s="130"/>
    </row>
    <row r="94" spans="1:8" ht="15">
      <c r="A94" s="19">
        <v>580</v>
      </c>
      <c r="B94" s="20" t="s">
        <v>186</v>
      </c>
      <c r="C94" s="25">
        <v>28164</v>
      </c>
      <c r="D94" s="21">
        <v>0</v>
      </c>
      <c r="E94" s="25">
        <v>28164</v>
      </c>
      <c r="F94" s="91">
        <f t="shared" si="21"/>
        <v>28164</v>
      </c>
      <c r="G94" s="161">
        <f t="shared" si="22"/>
        <v>0</v>
      </c>
      <c r="H94" s="130">
        <f t="shared" si="23"/>
        <v>0</v>
      </c>
    </row>
    <row r="95" spans="1:8" ht="15">
      <c r="A95" s="19">
        <v>585</v>
      </c>
      <c r="B95" s="20" t="s">
        <v>197</v>
      </c>
      <c r="C95" s="87">
        <v>0</v>
      </c>
      <c r="D95" s="21">
        <v>0</v>
      </c>
      <c r="E95" s="87">
        <v>0</v>
      </c>
      <c r="F95" s="91">
        <f t="shared" si="21"/>
        <v>0</v>
      </c>
      <c r="G95" s="161">
        <f>SUM(C95-F95)</f>
        <v>0</v>
      </c>
      <c r="H95" s="130"/>
    </row>
    <row r="96" spans="1:8" ht="15">
      <c r="A96" s="19">
        <v>590</v>
      </c>
      <c r="B96" s="20" t="s">
        <v>198</v>
      </c>
      <c r="C96" s="87">
        <v>0</v>
      </c>
      <c r="D96" s="21">
        <v>0</v>
      </c>
      <c r="E96" s="87">
        <v>0</v>
      </c>
      <c r="F96" s="91">
        <f t="shared" si="21"/>
        <v>0</v>
      </c>
      <c r="G96" s="161">
        <f>SUM(C96-F96)</f>
        <v>0</v>
      </c>
      <c r="H96" s="130"/>
    </row>
    <row r="97" spans="1:8" ht="15">
      <c r="A97" s="19">
        <v>595</v>
      </c>
      <c r="B97" s="47" t="s">
        <v>48</v>
      </c>
      <c r="C97" s="87">
        <v>0</v>
      </c>
      <c r="D97" s="21">
        <v>0</v>
      </c>
      <c r="E97" s="87">
        <v>0</v>
      </c>
      <c r="F97" s="91">
        <f t="shared" si="21"/>
        <v>0</v>
      </c>
      <c r="G97" s="161">
        <f aca="true" t="shared" si="24" ref="G97">SUM(C97-F97)</f>
        <v>0</v>
      </c>
      <c r="H97" s="130"/>
    </row>
    <row r="98" spans="1:8" ht="15.75" thickBot="1">
      <c r="A98" s="8"/>
      <c r="B98" s="49" t="s">
        <v>8</v>
      </c>
      <c r="C98" s="45">
        <f>C26+C34+C40+C41+C42+C43+C48+C49+C67+C86+C93+C94+C95+C96+C97</f>
        <v>57539</v>
      </c>
      <c r="D98" s="45">
        <f>D26+D34+D40+D41+D42+D43+D48+D49+D67+D86+D93+D94+D95+D96+D97</f>
        <v>22234.95</v>
      </c>
      <c r="E98" s="45">
        <f>E26+E34+E40+E41+E42+E43+E48+E49+E67+E86+E93+E94+E95+E96+E97</f>
        <v>43005.3</v>
      </c>
      <c r="F98" s="45">
        <f>F26+F34+F40+F41+F42+F43+F48+F49+F67+F86+F93+F94+F95+F96+F97</f>
        <v>65240.25</v>
      </c>
      <c r="G98" s="164">
        <f>SUM(G35+G41+G42+G43+G44+G49+G50+G69+G87+G93+G94+G95+G96+G97)</f>
        <v>-6110.13</v>
      </c>
      <c r="H98" s="140">
        <f t="shared" si="23"/>
        <v>0.3864326804428301</v>
      </c>
    </row>
    <row r="99" spans="1:8" ht="15.75" thickBot="1">
      <c r="A99" s="31"/>
      <c r="B99" s="32"/>
      <c r="C99" s="86"/>
      <c r="D99" s="58"/>
      <c r="E99" s="86"/>
      <c r="F99" s="86"/>
      <c r="G99" s="133"/>
      <c r="H99" s="134"/>
    </row>
    <row r="100" spans="1:8" ht="15">
      <c r="A100" s="27"/>
      <c r="B100" s="67" t="s">
        <v>34</v>
      </c>
      <c r="C100" s="25"/>
      <c r="D100" s="7"/>
      <c r="E100" s="25"/>
      <c r="F100" s="25"/>
      <c r="G100" s="25"/>
      <c r="H100" s="83"/>
    </row>
    <row r="101" spans="1:8" ht="15">
      <c r="A101" s="19">
        <v>754</v>
      </c>
      <c r="B101" s="20" t="s">
        <v>13</v>
      </c>
      <c r="C101" s="25">
        <v>1085</v>
      </c>
      <c r="D101" s="21">
        <v>506.49</v>
      </c>
      <c r="E101" s="25">
        <v>0</v>
      </c>
      <c r="F101" s="91">
        <f aca="true" t="shared" si="25" ref="F101">SUM(D101:E101)</f>
        <v>506.49</v>
      </c>
      <c r="G101" s="161">
        <f aca="true" t="shared" si="26" ref="G101:G112">SUM(C101-F101)</f>
        <v>578.51</v>
      </c>
      <c r="H101" s="130">
        <f aca="true" t="shared" si="27" ref="H101:H113">(D101/C101)</f>
        <v>0.4668110599078341</v>
      </c>
    </row>
    <row r="102" spans="1:8" ht="15">
      <c r="A102" s="19">
        <v>758</v>
      </c>
      <c r="B102" s="20" t="s">
        <v>14</v>
      </c>
      <c r="C102" s="25">
        <f>SUM(C103:C104)</f>
        <v>605</v>
      </c>
      <c r="D102" s="25">
        <f>SUM(D103:D104)</f>
        <v>334.12</v>
      </c>
      <c r="E102" s="25">
        <f>SUM(E103:E104)</f>
        <v>0</v>
      </c>
      <c r="F102" s="25">
        <f>SUM(F103:F104)</f>
        <v>334.12</v>
      </c>
      <c r="G102" s="161">
        <f t="shared" si="26"/>
        <v>270.88</v>
      </c>
      <c r="H102" s="130">
        <f t="shared" si="27"/>
        <v>0.5522644628099174</v>
      </c>
    </row>
    <row r="103" spans="1:8" ht="15">
      <c r="A103" s="14" t="s">
        <v>177</v>
      </c>
      <c r="B103" s="15" t="s">
        <v>174</v>
      </c>
      <c r="C103" s="65">
        <v>355</v>
      </c>
      <c r="D103" s="7">
        <v>334.12</v>
      </c>
      <c r="E103" s="65">
        <v>0</v>
      </c>
      <c r="F103" s="90">
        <f aca="true" t="shared" si="28" ref="F103:F112">SUM(D103:E103)</f>
        <v>334.12</v>
      </c>
      <c r="G103" s="161">
        <f t="shared" si="26"/>
        <v>20.879999999999995</v>
      </c>
      <c r="H103" s="130">
        <f t="shared" si="27"/>
        <v>0.9411830985915494</v>
      </c>
    </row>
    <row r="104" spans="1:8" ht="15">
      <c r="A104" s="14" t="s">
        <v>178</v>
      </c>
      <c r="B104" s="15" t="s">
        <v>179</v>
      </c>
      <c r="C104" s="65">
        <v>250</v>
      </c>
      <c r="D104" s="7">
        <v>0</v>
      </c>
      <c r="E104" s="65">
        <v>0</v>
      </c>
      <c r="F104" s="90">
        <f t="shared" si="28"/>
        <v>0</v>
      </c>
      <c r="G104" s="161">
        <f t="shared" si="26"/>
        <v>250</v>
      </c>
      <c r="H104" s="130">
        <f t="shared" si="27"/>
        <v>0</v>
      </c>
    </row>
    <row r="105" spans="1:8" ht="15">
      <c r="A105" s="19">
        <v>760</v>
      </c>
      <c r="B105" s="20" t="s">
        <v>29</v>
      </c>
      <c r="C105" s="25">
        <v>600</v>
      </c>
      <c r="D105" s="21">
        <v>0</v>
      </c>
      <c r="E105" s="25">
        <v>600</v>
      </c>
      <c r="F105" s="91">
        <f t="shared" si="28"/>
        <v>600</v>
      </c>
      <c r="G105" s="161">
        <f t="shared" si="26"/>
        <v>0</v>
      </c>
      <c r="H105" s="130">
        <f t="shared" si="27"/>
        <v>0</v>
      </c>
    </row>
    <row r="106" spans="1:8" ht="15">
      <c r="A106" s="19">
        <v>761</v>
      </c>
      <c r="B106" s="20" t="s">
        <v>35</v>
      </c>
      <c r="C106" s="25">
        <v>1000</v>
      </c>
      <c r="D106" s="21">
        <v>451</v>
      </c>
      <c r="E106" s="25">
        <v>349</v>
      </c>
      <c r="F106" s="91">
        <f t="shared" si="28"/>
        <v>800</v>
      </c>
      <c r="G106" s="161">
        <f t="shared" si="26"/>
        <v>200</v>
      </c>
      <c r="H106" s="130">
        <f t="shared" si="27"/>
        <v>0.451</v>
      </c>
    </row>
    <row r="107" spans="1:8" ht="15">
      <c r="A107" s="19">
        <v>762</v>
      </c>
      <c r="B107" s="20" t="s">
        <v>36</v>
      </c>
      <c r="C107" s="25">
        <f>SUM(C108:C109)</f>
        <v>1600</v>
      </c>
      <c r="D107" s="25">
        <f>SUM(D108:D109)</f>
        <v>370</v>
      </c>
      <c r="E107" s="25">
        <f>SUM(E108:E109)</f>
        <v>1110</v>
      </c>
      <c r="F107" s="25">
        <f>SUM(F108:F109)</f>
        <v>1480</v>
      </c>
      <c r="G107" s="161">
        <f t="shared" si="26"/>
        <v>120</v>
      </c>
      <c r="H107" s="130">
        <f t="shared" si="27"/>
        <v>0.23125</v>
      </c>
    </row>
    <row r="108" spans="1:8" ht="15">
      <c r="A108" s="14" t="s">
        <v>169</v>
      </c>
      <c r="B108" s="15" t="s">
        <v>171</v>
      </c>
      <c r="C108" s="90">
        <v>600</v>
      </c>
      <c r="D108" s="7">
        <v>240</v>
      </c>
      <c r="E108" s="90">
        <v>240</v>
      </c>
      <c r="F108" s="90">
        <f t="shared" si="28"/>
        <v>480</v>
      </c>
      <c r="G108" s="161">
        <f t="shared" si="26"/>
        <v>120</v>
      </c>
      <c r="H108" s="130">
        <f t="shared" si="27"/>
        <v>0.4</v>
      </c>
    </row>
    <row r="109" spans="1:8" ht="15">
      <c r="A109" s="14" t="s">
        <v>170</v>
      </c>
      <c r="B109" s="15" t="s">
        <v>18</v>
      </c>
      <c r="C109" s="90">
        <v>1000</v>
      </c>
      <c r="D109" s="7">
        <v>130</v>
      </c>
      <c r="E109" s="90">
        <v>870</v>
      </c>
      <c r="F109" s="90">
        <f t="shared" si="28"/>
        <v>1000</v>
      </c>
      <c r="G109" s="161">
        <f t="shared" si="26"/>
        <v>0</v>
      </c>
      <c r="H109" s="130">
        <f t="shared" si="27"/>
        <v>0.13</v>
      </c>
    </row>
    <row r="110" spans="1:8" ht="15">
      <c r="A110" s="19">
        <v>774</v>
      </c>
      <c r="B110" s="20" t="s">
        <v>6</v>
      </c>
      <c r="C110" s="25">
        <v>0</v>
      </c>
      <c r="D110" s="21">
        <v>0</v>
      </c>
      <c r="E110" s="25">
        <v>0</v>
      </c>
      <c r="F110" s="91">
        <f t="shared" si="28"/>
        <v>0</v>
      </c>
      <c r="G110" s="161">
        <f t="shared" si="26"/>
        <v>0</v>
      </c>
      <c r="H110" s="130"/>
    </row>
    <row r="111" spans="1:8" ht="15">
      <c r="A111" s="19">
        <v>780</v>
      </c>
      <c r="B111" s="20" t="s">
        <v>188</v>
      </c>
      <c r="C111" s="25">
        <v>4534</v>
      </c>
      <c r="D111" s="21">
        <v>0</v>
      </c>
      <c r="E111" s="25">
        <v>4534</v>
      </c>
      <c r="F111" s="91">
        <f t="shared" si="28"/>
        <v>4534</v>
      </c>
      <c r="G111" s="161">
        <f t="shared" si="26"/>
        <v>0</v>
      </c>
      <c r="H111" s="130">
        <f t="shared" si="27"/>
        <v>0</v>
      </c>
    </row>
    <row r="112" spans="1:8" ht="15">
      <c r="A112" s="8">
        <v>795</v>
      </c>
      <c r="B112" s="47" t="s">
        <v>48</v>
      </c>
      <c r="C112" s="87">
        <v>0</v>
      </c>
      <c r="D112" s="11">
        <v>0</v>
      </c>
      <c r="E112" s="87">
        <v>0</v>
      </c>
      <c r="F112" s="91">
        <f t="shared" si="28"/>
        <v>0</v>
      </c>
      <c r="G112" s="161">
        <f t="shared" si="26"/>
        <v>0</v>
      </c>
      <c r="H112" s="130"/>
    </row>
    <row r="113" spans="1:8" ht="15.75" thickBot="1">
      <c r="A113" s="152"/>
      <c r="B113" s="153" t="s">
        <v>8</v>
      </c>
      <c r="C113" s="112">
        <f>SUM(C101+C102+C105+C106+C107+C110+C111+C112)</f>
        <v>9424</v>
      </c>
      <c r="D113" s="112">
        <f>SUM(D101+D102+D105+D106+D107+D110+D111+D112)</f>
        <v>1661.6100000000001</v>
      </c>
      <c r="E113" s="112">
        <f>SUM(E101+E102+E105+E106+E107+E110+E111+E112)</f>
        <v>6593</v>
      </c>
      <c r="F113" s="112">
        <f>SUM(F101+F102+F105+F106+F107+F110+F111+F112)</f>
        <v>8254.61</v>
      </c>
      <c r="G113" s="162">
        <f aca="true" t="shared" si="29" ref="G113">SUM(G101+G102+G105+G106+G107+G110+G111+G112)</f>
        <v>1169.3899999999999</v>
      </c>
      <c r="H113" s="140">
        <f t="shared" si="27"/>
        <v>0.17631685059422753</v>
      </c>
    </row>
    <row r="114" spans="1:8" ht="15.75" thickBot="1">
      <c r="A114" s="154"/>
      <c r="B114" s="155"/>
      <c r="C114" s="150"/>
      <c r="D114" s="156"/>
      <c r="E114" s="157"/>
      <c r="F114" s="157"/>
      <c r="G114" s="157"/>
      <c r="H114" s="150"/>
    </row>
    <row r="115" spans="1:8" ht="15">
      <c r="A115" s="92"/>
      <c r="B115" s="9"/>
      <c r="C115" s="10"/>
      <c r="D115" s="11"/>
      <c r="E115" s="12"/>
      <c r="F115" s="12"/>
      <c r="G115" s="12"/>
      <c r="H115" s="10"/>
    </row>
    <row r="116" spans="1:8" ht="15">
      <c r="A116" s="92"/>
      <c r="B116" s="9"/>
      <c r="C116" s="10"/>
      <c r="D116" s="11"/>
      <c r="E116" s="12"/>
      <c r="F116" s="12"/>
      <c r="G116" s="12"/>
      <c r="H116" s="10"/>
    </row>
    <row r="117" spans="1:8" ht="15.75" thickBot="1">
      <c r="A117" s="92"/>
      <c r="B117" s="9"/>
      <c r="C117" s="10"/>
      <c r="D117" s="11"/>
      <c r="E117" s="12"/>
      <c r="F117" s="12"/>
      <c r="G117" s="12"/>
      <c r="H117" s="10"/>
    </row>
    <row r="118" spans="1:8" ht="48.75" thickBot="1">
      <c r="A118" s="31" t="s">
        <v>42</v>
      </c>
      <c r="B118" s="32" t="s">
        <v>0</v>
      </c>
      <c r="C118" s="33" t="s">
        <v>256</v>
      </c>
      <c r="D118" s="58" t="s">
        <v>255</v>
      </c>
      <c r="E118" s="34" t="s">
        <v>265</v>
      </c>
      <c r="F118" s="58" t="s">
        <v>232</v>
      </c>
      <c r="G118" s="58"/>
      <c r="H118" s="131" t="s">
        <v>249</v>
      </c>
    </row>
    <row r="119" spans="1:8" ht="15">
      <c r="A119" s="92"/>
      <c r="B119" s="46" t="s">
        <v>199</v>
      </c>
      <c r="C119" s="89"/>
      <c r="D119" s="94"/>
      <c r="E119" s="76"/>
      <c r="F119" s="94"/>
      <c r="G119" s="94"/>
      <c r="H119" s="84"/>
    </row>
    <row r="120" spans="1:8" ht="15">
      <c r="A120" s="8">
        <v>2200</v>
      </c>
      <c r="B120" s="9" t="s">
        <v>215</v>
      </c>
      <c r="C120" s="29">
        <f>SUM(C121:C122)</f>
        <v>1500</v>
      </c>
      <c r="D120" s="29">
        <f>SUM(D121:D122)</f>
        <v>17417.34</v>
      </c>
      <c r="E120" s="29">
        <f>SUM(E121:E122)</f>
        <v>232.66</v>
      </c>
      <c r="F120" s="29">
        <f>SUM(F121:F122)</f>
        <v>17650</v>
      </c>
      <c r="G120" s="161">
        <f aca="true" t="shared" si="30" ref="G120:G125">SUM(C120-F120)</f>
        <v>-16150</v>
      </c>
      <c r="H120" s="130">
        <f aca="true" t="shared" si="31" ref="H120:H121">(D120/C120)</f>
        <v>11.61156</v>
      </c>
    </row>
    <row r="121" spans="1:8" ht="15">
      <c r="A121" s="119" t="s">
        <v>213</v>
      </c>
      <c r="B121" s="120" t="s">
        <v>212</v>
      </c>
      <c r="C121" s="89">
        <v>1500</v>
      </c>
      <c r="D121" s="94">
        <v>1267.34</v>
      </c>
      <c r="E121" s="89">
        <v>232.66</v>
      </c>
      <c r="F121" s="90">
        <f aca="true" t="shared" si="32" ref="F121:F123">SUM(D121:E121)</f>
        <v>1500</v>
      </c>
      <c r="G121" s="161">
        <f t="shared" si="30"/>
        <v>0</v>
      </c>
      <c r="H121" s="130">
        <f t="shared" si="31"/>
        <v>0.8448933333333333</v>
      </c>
    </row>
    <row r="122" spans="1:8" ht="15">
      <c r="A122" s="119" t="s">
        <v>214</v>
      </c>
      <c r="B122" s="120" t="s">
        <v>216</v>
      </c>
      <c r="C122" s="89">
        <v>0</v>
      </c>
      <c r="D122" s="94">
        <v>16150</v>
      </c>
      <c r="E122" s="89">
        <v>0</v>
      </c>
      <c r="F122" s="90">
        <f t="shared" si="32"/>
        <v>16150</v>
      </c>
      <c r="G122" s="161">
        <f t="shared" si="30"/>
        <v>-16150</v>
      </c>
      <c r="H122" s="84"/>
    </row>
    <row r="123" spans="1:8" ht="15">
      <c r="A123" s="8">
        <v>2600</v>
      </c>
      <c r="B123" s="47" t="s">
        <v>39</v>
      </c>
      <c r="C123" s="29">
        <v>0</v>
      </c>
      <c r="D123" s="11">
        <v>0</v>
      </c>
      <c r="E123" s="29">
        <v>0</v>
      </c>
      <c r="F123" s="91">
        <f t="shared" si="32"/>
        <v>0</v>
      </c>
      <c r="G123" s="176">
        <f t="shared" si="30"/>
        <v>0</v>
      </c>
      <c r="H123" s="85"/>
    </row>
    <row r="124" spans="1:8" ht="15.75" thickBot="1">
      <c r="A124" s="92"/>
      <c r="B124" s="148" t="s">
        <v>8</v>
      </c>
      <c r="C124" s="149">
        <f>SUM(C120+C123)</f>
        <v>1500</v>
      </c>
      <c r="D124" s="149">
        <f>SUM(D120+D123)</f>
        <v>17417.34</v>
      </c>
      <c r="E124" s="149">
        <f>SUM(E120+E123)</f>
        <v>232.66</v>
      </c>
      <c r="F124" s="149">
        <f>SUM(F120+F123)</f>
        <v>17650</v>
      </c>
      <c r="G124" s="177">
        <f t="shared" si="30"/>
        <v>-16150</v>
      </c>
      <c r="H124" s="142">
        <f aca="true" t="shared" si="33" ref="H124:H125">(D124/C124)</f>
        <v>11.61156</v>
      </c>
    </row>
    <row r="125" spans="1:8" ht="15.75" thickBot="1">
      <c r="A125" s="195" t="s">
        <v>207</v>
      </c>
      <c r="B125" s="196"/>
      <c r="C125" s="150">
        <f>C98+C113+C124</f>
        <v>68463</v>
      </c>
      <c r="D125" s="150">
        <f>D98+D113+D124</f>
        <v>41313.9</v>
      </c>
      <c r="E125" s="150">
        <f>E98+E113+E124</f>
        <v>49830.96000000001</v>
      </c>
      <c r="F125" s="150">
        <f>F98+F113+F124</f>
        <v>91144.86</v>
      </c>
      <c r="G125" s="178">
        <f t="shared" si="30"/>
        <v>-22681.86</v>
      </c>
      <c r="H125" s="151">
        <f t="shared" si="33"/>
        <v>0.6034485780640638</v>
      </c>
    </row>
    <row r="126" spans="1:8" ht="15">
      <c r="A126" s="143"/>
      <c r="B126" s="93"/>
      <c r="C126" s="144"/>
      <c r="D126" s="94"/>
      <c r="E126" s="144"/>
      <c r="F126" s="144"/>
      <c r="G126" s="144"/>
      <c r="H126" s="145"/>
    </row>
    <row r="127" spans="1:8" ht="15">
      <c r="A127" s="146"/>
      <c r="B127" s="146"/>
      <c r="C127" s="146"/>
      <c r="D127" s="146"/>
      <c r="E127" s="146"/>
      <c r="F127" s="146"/>
      <c r="G127" s="146"/>
      <c r="H127" s="146"/>
    </row>
    <row r="128" spans="1:8" ht="15">
      <c r="A128" s="146"/>
      <c r="B128" s="146"/>
      <c r="C128" s="146"/>
      <c r="D128" s="146"/>
      <c r="E128" s="146"/>
      <c r="F128" s="146"/>
      <c r="G128" s="146"/>
      <c r="H128" s="146"/>
    </row>
    <row r="129" spans="1:8" ht="15">
      <c r="A129" s="146"/>
      <c r="B129" s="146"/>
      <c r="C129" s="146"/>
      <c r="D129" s="146"/>
      <c r="E129" s="146"/>
      <c r="F129" s="146"/>
      <c r="G129" s="146"/>
      <c r="H129" s="146"/>
    </row>
    <row r="130" spans="1:8" ht="15">
      <c r="A130" s="143"/>
      <c r="B130" s="93"/>
      <c r="C130" s="94"/>
      <c r="D130" s="94"/>
      <c r="E130" s="94"/>
      <c r="F130" s="94"/>
      <c r="G130" s="94"/>
      <c r="H130" s="145"/>
    </row>
    <row r="131" spans="1:8" ht="15">
      <c r="A131" s="129"/>
      <c r="B131" s="15"/>
      <c r="C131" s="7"/>
      <c r="D131" s="7"/>
      <c r="E131" s="7"/>
      <c r="F131" s="7"/>
      <c r="G131" s="7"/>
      <c r="H131" s="147"/>
    </row>
    <row r="132" spans="1:8" ht="15">
      <c r="A132" s="129"/>
      <c r="B132" s="15"/>
      <c r="C132" s="7"/>
      <c r="D132" s="7"/>
      <c r="E132" s="7"/>
      <c r="F132" s="7"/>
      <c r="G132" s="7"/>
      <c r="H132" s="147"/>
    </row>
    <row r="133" spans="1:8" ht="15">
      <c r="A133" s="129"/>
      <c r="B133" s="15"/>
      <c r="C133" s="7"/>
      <c r="D133" s="7"/>
      <c r="E133" s="7"/>
      <c r="F133" s="7"/>
      <c r="G133" s="7"/>
      <c r="H133" s="147"/>
    </row>
    <row r="134" spans="1:8" ht="15">
      <c r="A134" s="129"/>
      <c r="B134" s="15"/>
      <c r="C134" s="7"/>
      <c r="D134" s="7"/>
      <c r="E134" s="7"/>
      <c r="F134" s="7"/>
      <c r="G134" s="7"/>
      <c r="H134" s="147"/>
    </row>
    <row r="135" spans="1:8" ht="15">
      <c r="A135" s="129"/>
      <c r="B135" s="15"/>
      <c r="C135" s="7"/>
      <c r="D135" s="7"/>
      <c r="E135" s="7"/>
      <c r="F135" s="7"/>
      <c r="G135" s="7"/>
      <c r="H135" s="147"/>
    </row>
    <row r="136" spans="1:8" ht="15">
      <c r="A136" s="129"/>
      <c r="B136" s="15"/>
      <c r="C136" s="7"/>
      <c r="D136" s="7"/>
      <c r="E136" s="7"/>
      <c r="F136" s="7"/>
      <c r="G136" s="7"/>
      <c r="H136" s="147"/>
    </row>
    <row r="137" spans="1:8" ht="15">
      <c r="A137" s="129"/>
      <c r="B137" s="15"/>
      <c r="C137" s="7"/>
      <c r="D137" s="7"/>
      <c r="E137" s="7"/>
      <c r="F137" s="7"/>
      <c r="G137" s="7"/>
      <c r="H137" s="147"/>
    </row>
    <row r="138" spans="1:8" ht="15">
      <c r="A138" s="129"/>
      <c r="B138" s="15"/>
      <c r="C138" s="7"/>
      <c r="D138" s="7"/>
      <c r="E138" s="7"/>
      <c r="F138" s="7"/>
      <c r="G138" s="7"/>
      <c r="H138" s="147"/>
    </row>
    <row r="139" spans="1:8" ht="15">
      <c r="A139" s="129"/>
      <c r="B139" s="15"/>
      <c r="C139" s="7"/>
      <c r="D139" s="7"/>
      <c r="E139" s="7"/>
      <c r="F139" s="7"/>
      <c r="G139" s="7"/>
      <c r="H139" s="147"/>
    </row>
    <row r="140" spans="1:8" ht="15">
      <c r="A140" s="129"/>
      <c r="B140" s="15"/>
      <c r="C140" s="7"/>
      <c r="D140" s="7"/>
      <c r="E140" s="7"/>
      <c r="F140" s="7"/>
      <c r="G140" s="7"/>
      <c r="H140" s="147"/>
    </row>
    <row r="147" spans="1:8" ht="15.75">
      <c r="A147" s="191" t="s">
        <v>180</v>
      </c>
      <c r="B147" s="192"/>
      <c r="C147" s="89"/>
      <c r="D147" s="121"/>
      <c r="E147" s="89"/>
      <c r="F147" s="89"/>
      <c r="G147" s="127"/>
      <c r="H147" s="105"/>
    </row>
    <row r="148" spans="1:8" ht="15">
      <c r="A148" s="30"/>
      <c r="B148" s="109" t="s">
        <v>175</v>
      </c>
      <c r="C148" s="10">
        <f>SUM(Resources!C2+Resources!C24+C30)</f>
        <v>277880</v>
      </c>
      <c r="D148" s="10">
        <f>SUM(Resources!D2+Resources!D24+D30)</f>
        <v>273023.33</v>
      </c>
      <c r="E148" s="10">
        <f>SUM(Resources!E2+Resources!E24+E30)</f>
        <v>14347.67</v>
      </c>
      <c r="F148" s="10">
        <f>SUM(Resources!F2+Resources!F24+F30)</f>
        <v>284736.27999999997</v>
      </c>
      <c r="G148" s="10"/>
      <c r="H148" s="130">
        <f aca="true" t="shared" si="34" ref="H148:H149">(D148/C148)</f>
        <v>0.9825224197495322</v>
      </c>
    </row>
    <row r="149" spans="1:8" ht="15">
      <c r="A149" s="30"/>
      <c r="B149" s="109" t="s">
        <v>176</v>
      </c>
      <c r="C149" s="10">
        <f>SUM(Resources!C93+C125)</f>
        <v>277880</v>
      </c>
      <c r="D149" s="10">
        <f>SUM(Resources!D93+D125)</f>
        <v>119155.23000000001</v>
      </c>
      <c r="E149" s="10">
        <f>SUM(Resources!E93+E125)</f>
        <v>182274.79000000004</v>
      </c>
      <c r="F149" s="10">
        <f>SUM(Resources!F93+F125)</f>
        <v>301270.18</v>
      </c>
      <c r="G149" s="10"/>
      <c r="H149" s="130">
        <f t="shared" si="34"/>
        <v>0.42880102922124663</v>
      </c>
    </row>
  </sheetData>
  <mergeCells count="3">
    <mergeCell ref="A147:B147"/>
    <mergeCell ref="A30:B30"/>
    <mergeCell ref="A125:B125"/>
  </mergeCells>
  <printOptions/>
  <pageMargins left="0.1968503937007874" right="0.11811023622047244" top="1.3385826771653544" bottom="0.5511811023622047" header="0.31496062992125984" footer="0.31496062992125984"/>
  <pageSetup horizontalDpi="600" verticalDpi="600" orientation="landscape" paperSize="9" r:id="rId1"/>
  <headerFooter>
    <oddHeader xml:space="preserve">&amp;C&amp;"Arial,Bold"&amp;12Ilminster Town Council
Financial Monitoring 2015/16
01/04/15 - 30/09/15&amp;R&amp;"Arial,Bold"&amp;16Agenda No 6 &amp;"-,Regular"&amp;11   </oddHead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workbookViewId="0" topLeftCell="A1">
      <selection activeCell="K28" sqref="K28"/>
    </sheetView>
  </sheetViews>
  <sheetFormatPr defaultColWidth="9.140625" defaultRowHeight="15"/>
  <cols>
    <col min="2" max="2" width="26.421875" style="0" customWidth="1"/>
    <col min="3" max="9" width="12.7109375" style="0" customWidth="1"/>
  </cols>
  <sheetData>
    <row r="1" spans="1:9" ht="39" thickBot="1">
      <c r="A1" s="31" t="s">
        <v>42</v>
      </c>
      <c r="B1" s="32" t="s">
        <v>0</v>
      </c>
      <c r="C1" s="33" t="s">
        <v>226</v>
      </c>
      <c r="D1" s="58" t="s">
        <v>227</v>
      </c>
      <c r="E1" s="34" t="s">
        <v>228</v>
      </c>
      <c r="F1" s="58" t="s">
        <v>230</v>
      </c>
      <c r="G1" s="97" t="s">
        <v>231</v>
      </c>
      <c r="H1" s="100" t="s">
        <v>229</v>
      </c>
      <c r="I1" s="59" t="s">
        <v>40</v>
      </c>
    </row>
    <row r="2" ht="15">
      <c r="B2" s="122" t="s">
        <v>243</v>
      </c>
    </row>
    <row r="3" spans="2:9" ht="15">
      <c r="B3" t="s">
        <v>233</v>
      </c>
      <c r="C3" s="123">
        <f>Resources!C14-Resources!C7</f>
        <v>1385</v>
      </c>
      <c r="D3" s="123">
        <f>Resources!D14-Resources!D7</f>
        <v>7920.980000000003</v>
      </c>
      <c r="E3" s="123">
        <f>Resources!E14-Resources!E7</f>
        <v>1187.5</v>
      </c>
      <c r="F3" s="123">
        <f>Resources!F14-Resources!F7</f>
        <v>9108.480000000003</v>
      </c>
      <c r="G3" s="125">
        <f>Resources!G14-Resources!G7</f>
        <v>-7723.480000000003</v>
      </c>
      <c r="I3" t="s">
        <v>241</v>
      </c>
    </row>
    <row r="4" spans="2:9" ht="15">
      <c r="B4" t="s">
        <v>234</v>
      </c>
      <c r="C4" s="123">
        <f>'Open Spaces'!C17+'Open Spaces'!C28</f>
        <v>8952</v>
      </c>
      <c r="D4" s="123">
        <f>'Open Spaces'!D17+'Open Spaces'!D28</f>
        <v>5233.95</v>
      </c>
      <c r="E4" s="123">
        <f>'Open Spaces'!E17+'Open Spaces'!E28</f>
        <v>5389.5</v>
      </c>
      <c r="F4" s="123">
        <f>'Open Spaces'!F17+'Open Spaces'!F28</f>
        <v>7988.73</v>
      </c>
      <c r="G4" s="123">
        <f>'Open Spaces'!G17+'Open Spaces'!G28</f>
        <v>963.27</v>
      </c>
      <c r="I4" t="s">
        <v>242</v>
      </c>
    </row>
    <row r="5" spans="2:7" ht="15">
      <c r="B5" t="s">
        <v>235</v>
      </c>
      <c r="C5" s="123"/>
      <c r="D5" s="123"/>
      <c r="E5" s="123"/>
      <c r="F5" s="123"/>
      <c r="G5" s="125"/>
    </row>
    <row r="6" spans="2:7" ht="15">
      <c r="B6" t="s">
        <v>236</v>
      </c>
      <c r="C6" s="123">
        <f>'Open Spaces'!C21</f>
        <v>11500</v>
      </c>
      <c r="D6" s="123">
        <f>'Open Spaces'!D21</f>
        <v>6146</v>
      </c>
      <c r="E6" s="123">
        <f>'Open Spaces'!E21</f>
        <v>5354</v>
      </c>
      <c r="F6" s="123">
        <f>'Open Spaces'!F21</f>
        <v>11500</v>
      </c>
      <c r="G6" s="123">
        <f>'Open Spaces'!G21</f>
        <v>0</v>
      </c>
    </row>
    <row r="7" spans="2:7" ht="15">
      <c r="B7" t="s">
        <v>237</v>
      </c>
      <c r="C7" s="123">
        <f>Resources!C18</f>
        <v>0</v>
      </c>
      <c r="D7" s="123">
        <f>Resources!D18</f>
        <v>0</v>
      </c>
      <c r="E7" s="123">
        <f>Resources!E18</f>
        <v>0</v>
      </c>
      <c r="F7" s="123">
        <f>Resources!F18</f>
        <v>0</v>
      </c>
      <c r="G7" s="125">
        <f>Resources!G18</f>
        <v>0</v>
      </c>
    </row>
    <row r="8" spans="2:7" ht="15">
      <c r="B8" t="s">
        <v>9</v>
      </c>
      <c r="C8" s="123">
        <f>Resources!C7</f>
        <v>20320</v>
      </c>
      <c r="D8" s="123">
        <f>Resources!D7</f>
        <v>20320</v>
      </c>
      <c r="E8" s="123">
        <f>Resources!E7</f>
        <v>0</v>
      </c>
      <c r="F8" s="123">
        <f>Resources!F7</f>
        <v>20320</v>
      </c>
      <c r="G8" s="125">
        <f>Resources!G7</f>
        <v>0</v>
      </c>
    </row>
    <row r="9" spans="2:7" ht="15">
      <c r="B9" t="s">
        <v>156</v>
      </c>
      <c r="C9" s="123"/>
      <c r="D9" s="123"/>
      <c r="E9" s="123"/>
      <c r="F9" s="123"/>
      <c r="G9" s="125"/>
    </row>
    <row r="10" spans="2:7" ht="15">
      <c r="B10" t="s">
        <v>238</v>
      </c>
      <c r="C10" s="123">
        <f>Resources!C22</f>
        <v>4500</v>
      </c>
      <c r="D10" s="123">
        <f>Resources!D22</f>
        <v>2179.4</v>
      </c>
      <c r="E10" s="123">
        <f>Resources!E22</f>
        <v>2416.67</v>
      </c>
      <c r="F10" s="123">
        <f>Resources!F22</f>
        <v>4596.07</v>
      </c>
      <c r="G10" s="125">
        <f>Resources!G22</f>
        <v>-96.06999999999971</v>
      </c>
    </row>
    <row r="11" spans="3:7" ht="15">
      <c r="C11" s="123"/>
      <c r="D11" s="123"/>
      <c r="E11" s="123"/>
      <c r="F11" s="123"/>
      <c r="G11" s="125"/>
    </row>
    <row r="12" spans="2:7" ht="15">
      <c r="B12" t="s">
        <v>239</v>
      </c>
      <c r="C12" s="123"/>
      <c r="D12" s="123"/>
      <c r="E12" s="123"/>
      <c r="F12" s="123"/>
      <c r="G12" s="125"/>
    </row>
    <row r="13" spans="3:7" ht="15">
      <c r="C13" s="123"/>
      <c r="D13" s="123"/>
      <c r="E13" s="123"/>
      <c r="F13" s="123"/>
      <c r="G13" s="125"/>
    </row>
    <row r="14" spans="2:7" ht="15">
      <c r="B14" t="s">
        <v>240</v>
      </c>
      <c r="C14" s="123">
        <f>Resources!C2</f>
        <v>231223</v>
      </c>
      <c r="D14" s="123">
        <f>Resources!D2</f>
        <v>231223</v>
      </c>
      <c r="E14" s="123">
        <f>Resources!E2</f>
        <v>0</v>
      </c>
      <c r="F14" s="123">
        <f>Resources!F2</f>
        <v>231223</v>
      </c>
      <c r="G14" s="125">
        <f>Resources!G2</f>
        <v>0</v>
      </c>
    </row>
    <row r="15" spans="3:7" ht="15">
      <c r="C15" s="123"/>
      <c r="D15" s="123"/>
      <c r="E15" s="123"/>
      <c r="F15" s="123"/>
      <c r="G15" s="125"/>
    </row>
    <row r="16" spans="2:7" ht="15">
      <c r="B16" s="122" t="s">
        <v>230</v>
      </c>
      <c r="C16" s="124">
        <f>Resources!C2+Resources!C24+'Open Spaces'!C30</f>
        <v>277880</v>
      </c>
      <c r="D16" s="124">
        <f>Resources!D2+Resources!D24+'Open Spaces'!D30</f>
        <v>273023.33</v>
      </c>
      <c r="E16" s="124">
        <f>Resources!E2+Resources!E24+'Open Spaces'!E30</f>
        <v>14347.67</v>
      </c>
      <c r="F16" s="124">
        <f>Resources!F2+Resources!F24+'Open Spaces'!F30</f>
        <v>284736.27999999997</v>
      </c>
      <c r="G16" s="124">
        <f>Resources!G2+Resources!G24+'Open Spaces'!G30</f>
        <v>-6856.2800000000025</v>
      </c>
    </row>
    <row r="17" spans="2:7" ht="15">
      <c r="B17" s="122"/>
      <c r="C17" s="123"/>
      <c r="D17" s="123"/>
      <c r="E17" s="123"/>
      <c r="F17" s="123"/>
      <c r="G17" s="125"/>
    </row>
    <row r="18" spans="2:7" ht="15">
      <c r="B18" s="122" t="s">
        <v>244</v>
      </c>
      <c r="C18" s="123"/>
      <c r="D18" s="123"/>
      <c r="E18" s="123"/>
      <c r="F18" s="123"/>
      <c r="G18" s="125"/>
    </row>
    <row r="19" spans="2:9" ht="15">
      <c r="B19" t="s">
        <v>233</v>
      </c>
      <c r="C19" s="123">
        <f>Resources!C76-Resources!C34</f>
        <v>203431</v>
      </c>
      <c r="D19" s="123">
        <f>Resources!D76-Resources!D34</f>
        <v>75466.62</v>
      </c>
      <c r="E19" s="123">
        <f>Resources!E76-Resources!E34</f>
        <v>128571.83000000002</v>
      </c>
      <c r="F19" s="123">
        <f>Resources!F76-Resources!F34</f>
        <v>204038.45</v>
      </c>
      <c r="G19" s="125">
        <f>Resources!G76-Resources!G34</f>
        <v>1496.1399999999996</v>
      </c>
      <c r="I19" t="s">
        <v>245</v>
      </c>
    </row>
    <row r="20" spans="2:9" ht="15">
      <c r="B20" t="s">
        <v>234</v>
      </c>
      <c r="C20" s="123">
        <f>'Open Spaces'!C98-'Open Spaces'!C74-'Open Spaces'!C86+'Open Spaces'!C124</f>
        <v>53569</v>
      </c>
      <c r="D20" s="123">
        <f>'Open Spaces'!D98-'Open Spaces'!D74-'Open Spaces'!D86+'Open Spaces'!D124</f>
        <v>37269.130000000005</v>
      </c>
      <c r="E20" s="123">
        <f>'Open Spaces'!E98-'Open Spaces'!E74-'Open Spaces'!E86+'Open Spaces'!E124</f>
        <v>39358.66</v>
      </c>
      <c r="F20" s="123">
        <f>'Open Spaces'!F98-'Open Spaces'!F74-'Open Spaces'!F86+'Open Spaces'!F124</f>
        <v>76627.79000000001</v>
      </c>
      <c r="G20" s="123">
        <f>'Open Spaces'!G98-'Open Spaces'!G74-'Open Spaces'!G86+'Open Spaces'!G124</f>
        <v>-21467.670000000002</v>
      </c>
      <c r="I20" t="s">
        <v>246</v>
      </c>
    </row>
    <row r="21" spans="2:7" ht="15">
      <c r="B21" t="s">
        <v>235</v>
      </c>
      <c r="C21" s="123">
        <f>'Open Spaces'!C86</f>
        <v>5220</v>
      </c>
      <c r="D21" s="123">
        <f>'Open Spaces'!D86</f>
        <v>2383.16</v>
      </c>
      <c r="E21" s="123">
        <f>'Open Spaces'!E86</f>
        <v>3629.3</v>
      </c>
      <c r="F21" s="123">
        <f>'Open Spaces'!F86</f>
        <v>6012.459999999999</v>
      </c>
      <c r="G21" s="123">
        <f>'Open Spaces'!G86</f>
        <v>-792.4599999999991</v>
      </c>
    </row>
    <row r="22" spans="2:9" ht="15">
      <c r="B22" t="s">
        <v>236</v>
      </c>
      <c r="C22" s="123">
        <f>'Open Spaces'!C113</f>
        <v>9424</v>
      </c>
      <c r="D22" s="123">
        <f>'Open Spaces'!D113</f>
        <v>1661.6100000000001</v>
      </c>
      <c r="E22" s="123">
        <f>'Open Spaces'!E113</f>
        <v>6593</v>
      </c>
      <c r="F22" s="123">
        <f>'Open Spaces'!F113</f>
        <v>8254.61</v>
      </c>
      <c r="G22" s="123">
        <f>'Open Spaces'!G113</f>
        <v>1169.3899999999999</v>
      </c>
      <c r="I22" t="s">
        <v>247</v>
      </c>
    </row>
    <row r="23" spans="2:7" ht="15">
      <c r="B23" t="s">
        <v>237</v>
      </c>
      <c r="C23" s="123">
        <f>Resources!C87</f>
        <v>1936</v>
      </c>
      <c r="D23" s="123">
        <f>Resources!D87</f>
        <v>392.71000000000004</v>
      </c>
      <c r="E23" s="123">
        <f>Resources!E87</f>
        <v>1306</v>
      </c>
      <c r="F23" s="123">
        <f>Resources!F87</f>
        <v>1538.87</v>
      </c>
      <c r="G23" s="125">
        <f>Resources!G87</f>
        <v>397.13</v>
      </c>
    </row>
    <row r="24" spans="2:7" ht="15">
      <c r="B24" t="s">
        <v>9</v>
      </c>
      <c r="C24" s="123">
        <f>Resources!C34</f>
        <v>3900</v>
      </c>
      <c r="D24" s="123">
        <f>Resources!D34</f>
        <v>1340</v>
      </c>
      <c r="E24" s="123">
        <f>Resources!E34</f>
        <v>2560</v>
      </c>
      <c r="F24" s="123">
        <f>Resources!F34</f>
        <v>3900</v>
      </c>
      <c r="G24" s="125">
        <f>Resources!G34</f>
        <v>0</v>
      </c>
    </row>
    <row r="25" spans="2:7" ht="15">
      <c r="B25" t="s">
        <v>156</v>
      </c>
      <c r="C25" s="123">
        <f>'Open Spaces'!C74</f>
        <v>250</v>
      </c>
      <c r="D25" s="123">
        <f>'Open Spaces'!D74</f>
        <v>0</v>
      </c>
      <c r="E25" s="123">
        <f>'Open Spaces'!E74</f>
        <v>250</v>
      </c>
      <c r="F25" s="123">
        <f>'Open Spaces'!F74</f>
        <v>250</v>
      </c>
      <c r="G25" s="123">
        <f>'Open Spaces'!G74</f>
        <v>0</v>
      </c>
    </row>
    <row r="26" spans="2:7" ht="15">
      <c r="B26" t="s">
        <v>238</v>
      </c>
      <c r="C26" s="123">
        <f>Resources!C91</f>
        <v>150</v>
      </c>
      <c r="D26" s="123">
        <f>Resources!D91</f>
        <v>642</v>
      </c>
      <c r="E26" s="123">
        <f>Resources!E91</f>
        <v>6</v>
      </c>
      <c r="F26" s="123">
        <f>Resources!F91</f>
        <v>648</v>
      </c>
      <c r="G26" s="125">
        <f>Resources!G91</f>
        <v>-498</v>
      </c>
    </row>
    <row r="27" spans="2:7" ht="15">
      <c r="B27" t="s">
        <v>250</v>
      </c>
      <c r="C27" s="123"/>
      <c r="D27" s="123">
        <v>5655.9</v>
      </c>
      <c r="E27" s="123"/>
      <c r="F27" s="123"/>
      <c r="G27" s="125"/>
    </row>
    <row r="28" spans="2:9" ht="15">
      <c r="B28" s="122" t="s">
        <v>232</v>
      </c>
      <c r="C28" s="123">
        <f>Resources!C93+'Open Spaces'!C125</f>
        <v>277880</v>
      </c>
      <c r="D28" s="123">
        <f>Resources!D93+'Open Spaces'!D125+D27</f>
        <v>124811.13</v>
      </c>
      <c r="E28" s="123">
        <f>Resources!E93+'Open Spaces'!E125</f>
        <v>182274.79000000004</v>
      </c>
      <c r="F28" s="123">
        <f>Resources!F93+'Open Spaces'!F125</f>
        <v>301270.18</v>
      </c>
      <c r="G28" s="123">
        <f>Resources!G93+'Open Spaces'!G125</f>
        <v>-23390.180000000008</v>
      </c>
      <c r="I28" s="170" t="s">
        <v>271</v>
      </c>
    </row>
    <row r="29" spans="2:7" ht="15">
      <c r="B29" s="122" t="s">
        <v>13</v>
      </c>
      <c r="C29" s="123">
        <f>Resources!D32+Resources!D79+'Open Spaces'!D40+'Open Spaces'!D41+'Open Spaces'!D101</f>
        <v>5669.469999999999</v>
      </c>
      <c r="D29" s="123"/>
      <c r="E29" s="123"/>
      <c r="F29" s="123"/>
      <c r="G29" s="125"/>
    </row>
  </sheetData>
  <printOptions/>
  <pageMargins left="0.1968503937007874" right="0.11811023622047244" top="1.3385826771653544" bottom="0.5511811023622047" header="0.31496062992125984" footer="0.31496062992125984"/>
  <pageSetup horizontalDpi="600" verticalDpi="600" orientation="landscape" paperSize="9" r:id="rId1"/>
  <headerFooter>
    <oddHeader>&amp;C&amp;"Arial,Bold"&amp;12Ilminster Town Council 
Financial Monitoring 2015/16
01/04/15 - 30/09/15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Shelley</dc:creator>
  <cp:keywords/>
  <dc:description/>
  <cp:lastModifiedBy>Marilyn</cp:lastModifiedBy>
  <cp:lastPrinted>2015-10-27T09:54:30Z</cp:lastPrinted>
  <dcterms:created xsi:type="dcterms:W3CDTF">2013-02-04T12:28:22Z</dcterms:created>
  <dcterms:modified xsi:type="dcterms:W3CDTF">2015-10-27T10:52:38Z</dcterms:modified>
  <cp:category/>
  <cp:version/>
  <cp:contentType/>
  <cp:contentStatus/>
</cp:coreProperties>
</file>